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370" tabRatio="744" activeTab="0"/>
  </bookViews>
  <sheets>
    <sheet name="печатная форма" sheetId="1" r:id="rId1"/>
    <sheet name="КБ (4)" sheetId="2" r:id="rId2"/>
  </sheets>
  <definedNames>
    <definedName name="_xlnm.Print_Area" localSheetId="0">'печатная форма'!$C$1:$Z$78</definedName>
    <definedName name="Par0" localSheetId="1">'КБ (4)'!$C$70</definedName>
  </definedNames>
  <calcPr fullCalcOnLoad="1" fullPrecision="0"/>
</workbook>
</file>

<file path=xl/sharedStrings.xml><?xml version="1.0" encoding="utf-8"?>
<sst xmlns="http://schemas.openxmlformats.org/spreadsheetml/2006/main" count="166" uniqueCount="132">
  <si>
    <t>Главный распорядитель средств краевого бюджета</t>
  </si>
  <si>
    <t>Наименование межбюджетного трансферта</t>
  </si>
  <si>
    <t>Документ, утверждающий методику распределения межбюджетного трансферта</t>
  </si>
  <si>
    <t>№ п/п</t>
  </si>
  <si>
    <t>Наименование муниципального  образования Краснодарского края</t>
  </si>
  <si>
    <t>Всего</t>
  </si>
  <si>
    <t>Общая сумма строк</t>
  </si>
  <si>
    <t>Х</t>
  </si>
  <si>
    <t>(должность)</t>
  </si>
  <si>
    <t>Код  записи</t>
  </si>
  <si>
    <t>Лицевой счет</t>
  </si>
  <si>
    <t>Код РО</t>
  </si>
  <si>
    <t>Наименование РО</t>
  </si>
  <si>
    <t>Бюджетная классификация</t>
  </si>
  <si>
    <t>Рз/Пр</t>
  </si>
  <si>
    <t>ЦСР</t>
  </si>
  <si>
    <t>ВР</t>
  </si>
  <si>
    <t>КОСГУ</t>
  </si>
  <si>
    <t>СубКОСГУ</t>
  </si>
  <si>
    <t>Тип средств</t>
  </si>
  <si>
    <t>Код субсидии</t>
  </si>
  <si>
    <t>Код цели</t>
  </si>
  <si>
    <t>Мероприятие</t>
  </si>
  <si>
    <t>Направления</t>
  </si>
  <si>
    <t>Автозаполнение порядковым номером</t>
  </si>
  <si>
    <t>выбор из справочника</t>
  </si>
  <si>
    <t>Заполняется вводом с клавиатуры</t>
  </si>
  <si>
    <t>Министерство топливно-энергетического комплекса и жилищно-коммунального хозяйства Краснодарского края</t>
  </si>
  <si>
    <t>Корректировка до величины, позволяющей либо включить еще одну молодую семью в список молодых семей - претендентов на получение социальных выплат, либо исключить ее из указанного списка, тыс. рублей</t>
  </si>
  <si>
    <t>Распределение субсидий местным бюджетам муниципальных образований за счет средств краевого бюджета, в том числе источником финансового обеспечения которых является субсидия из федерального бюджета, осуществляется в соответствии со следующей формулой:</t>
  </si>
  <si>
    <t>C - размер бюджетных ассигнований краевого бюджета, в том числе источником финансового обеспечения которых является субсидия из федерального бюджета, на соответствующий финансовый год для предоставления субсидий муниципальным образованиям в целях софинансирования расходных обязательств;</t>
  </si>
  <si>
    <t>n - число муниципальных образований, отобранных министерством в соответствующем году и участвующих в основном мероприятии.</t>
  </si>
  <si>
    <t>Предельный размер средств краевого бюджета для софинансирования расходного обязательства i-му муниципальному образованию определяется по формуле:</t>
  </si>
  <si>
    <t>Ci - объем субсидии местному бюджету i-го муниципального образования;</t>
  </si>
  <si>
    <t>Vпрi - предельный размер средств краевого бюджета для софинансирования расходного обязательства, рассчитанный i-му муниципальному образованию;</t>
  </si>
  <si>
    <t>Ci - размер субсидии, предоставляемой бюджету  i-го муниципального образования на реализацию мероприятия,  (округл),  руб.</t>
  </si>
  <si>
    <t xml:space="preserve">Vпрi - предельный размер средств краевого бюджета для софинансирования расходного обязательства, рассчитанный i-му муниципальному образованию,  
тыс. рублей </t>
  </si>
  <si>
    <t xml:space="preserve">PОi – объем бюджетных ассигнований  бюджета  i- го муниципального образования на реализацию мероприятия </t>
  </si>
  <si>
    <t xml:space="preserve">Vпрi – предельный объем средств краевого бюджета, рассчитанный i-му муниципальному образованию Краснодарского края на реализацию мероприятия, с учетом уровня софинансирования, установленного приказом министерства финансов Краснодарского края, (Yi *PОi/(1- Yi),   рублей </t>
  </si>
  <si>
    <t xml:space="preserve">POi – объем бюджетных ассигнований бюджета i-го муниципального образования, направляемых на соблюдение условий софинансирования, тыс. рублей </t>
  </si>
  <si>
    <t xml:space="preserve">C - размер бюджетных ассигнований краевого бюджета на соответствующий финансовый год для предоставления субсидий муниципальным образованиям в целях софинансирования расходных обязательств, тыс. рублей </t>
  </si>
  <si>
    <t>город - курорт Анапа</t>
  </si>
  <si>
    <t>Абинский район</t>
  </si>
  <si>
    <t>Абинское городское поселение Абинского района</t>
  </si>
  <si>
    <t xml:space="preserve">Ахтырское городское поселение Абинского района  </t>
  </si>
  <si>
    <t>Апшеронское городское поселение Апшеронского района</t>
  </si>
  <si>
    <t>город Армавир</t>
  </si>
  <si>
    <t>Белореченское городское поселение Белореченского района</t>
  </si>
  <si>
    <t>Брюховецкий район</t>
  </si>
  <si>
    <t>город-курорт Геленджик</t>
  </si>
  <si>
    <t>Гулькевичский район</t>
  </si>
  <si>
    <t>Гулькевичское городское поселение Гулькевичского района</t>
  </si>
  <si>
    <t xml:space="preserve">Динской район </t>
  </si>
  <si>
    <t>Ейское городское поселение Ейского района</t>
  </si>
  <si>
    <t>город Краснодар</t>
  </si>
  <si>
    <t>Каневской район</t>
  </si>
  <si>
    <t>Калининский район</t>
  </si>
  <si>
    <t>Кавказский район</t>
  </si>
  <si>
    <t>Кропоткинское городское поселение Кавказского района</t>
  </si>
  <si>
    <t>Красноармейский район</t>
  </si>
  <si>
    <t>Кореновский район</t>
  </si>
  <si>
    <t>Кореновское городское поселение Кореновского района</t>
  </si>
  <si>
    <t>Крымское городское поселение Крымского района</t>
  </si>
  <si>
    <t>Курганинский район</t>
  </si>
  <si>
    <t>Курганинское городское поселение Курганинского района</t>
  </si>
  <si>
    <t>Лабинское городское поселение Лабинского района</t>
  </si>
  <si>
    <t xml:space="preserve">Ленинградский район </t>
  </si>
  <si>
    <t>Мостовское городское поселение Мостовского района</t>
  </si>
  <si>
    <t>город Новороссийск</t>
  </si>
  <si>
    <t>Новокубанский район</t>
  </si>
  <si>
    <t>Новокубанское городское поселение Новокубанского района</t>
  </si>
  <si>
    <t>Новопокровский район</t>
  </si>
  <si>
    <t>Павловский район</t>
  </si>
  <si>
    <t>Приморско-Ахтарское городское поселение Приморско-Ахтарского района</t>
  </si>
  <si>
    <t>Северский район</t>
  </si>
  <si>
    <t>Афипское городское поселение Северского района</t>
  </si>
  <si>
    <t>Ильское городское поселение Северского района</t>
  </si>
  <si>
    <t>Славянский район</t>
  </si>
  <si>
    <t>Славянское городское поселение Славянского района</t>
  </si>
  <si>
    <t>город - курорт Сочи</t>
  </si>
  <si>
    <t>Староминский район</t>
  </si>
  <si>
    <t>Тбилисский район</t>
  </si>
  <si>
    <t>Темрюкский район</t>
  </si>
  <si>
    <t>Тимашевский район</t>
  </si>
  <si>
    <t>Тимашевское городское поселение Тимашевского района</t>
  </si>
  <si>
    <t>Тихорецкий район</t>
  </si>
  <si>
    <t>Тихорецкое городское поселение Тихорецкого района</t>
  </si>
  <si>
    <t>Туапсинский район</t>
  </si>
  <si>
    <t>Новомихайловское городское поселение Туапсинского района</t>
  </si>
  <si>
    <t>Туапсинское городское поселение Туапсинского района</t>
  </si>
  <si>
    <t>Усть-Лабинский район</t>
  </si>
  <si>
    <t>Усть-Лабинское городское поселение Усть-Лабинского района</t>
  </si>
  <si>
    <t>Объем расходного обязательства МО на предоставление социальных выплат молодым семьям, рублей</t>
  </si>
  <si>
    <t>формула</t>
  </si>
  <si>
    <t xml:space="preserve">Ci - размер субсидии, предоставляемой бюджету  i-го муниципального образования на реализацию мероприятия из краевого бюджета,  рублей </t>
  </si>
  <si>
    <t>х</t>
  </si>
  <si>
    <t>Размер субсидии, предоставляемой бюджету  i-го муниципального образования на реализацию мероприятия, источником финансового обеспечения которых является субсидия из федерального бюджета (округл),  руб.</t>
  </si>
  <si>
    <t>Yi - уровень софинансирования расходного обязательства i-го муниципального образования за счет субсидии из краевого бюджета, в том числе источником финансового обеспечения которой является субсидия из федерального бюджета, %</t>
  </si>
  <si>
    <t>Ci - объем субсидии, предоставляемой бюджету i-го муниципального образования, тыс. рублей</t>
  </si>
  <si>
    <t>уточнить название</t>
  </si>
  <si>
    <t>сумма из фб и кб в краевом бюджете</t>
  </si>
  <si>
    <t>Заполняется вводом с клавиатуры со знаками + или -</t>
  </si>
  <si>
    <t>Итого</t>
  </si>
  <si>
    <r>
      <t xml:space="preserve">Размер субсидии, предоставляемой бюджету  i-го муниципального образования на реализацию мероприятия из </t>
    </r>
    <r>
      <rPr>
        <sz val="12"/>
        <color indexed="10"/>
        <rFont val="Times New Roman"/>
        <family val="1"/>
      </rPr>
      <t>федерального</t>
    </r>
    <r>
      <rPr>
        <sz val="12"/>
        <color indexed="8"/>
        <rFont val="Times New Roman"/>
        <family val="1"/>
      </rPr>
      <t xml:space="preserve"> бюджета,  рублей </t>
    </r>
  </si>
  <si>
    <t>Хадыженское городское поселение Апшеронского района</t>
  </si>
  <si>
    <t>Белореченский район</t>
  </si>
  <si>
    <t>Кущевский район</t>
  </si>
  <si>
    <t>Успенский район</t>
  </si>
  <si>
    <t>Субсидии бюджетам муниципальных образований на реализацию мероприятия по обеспечению жильем молодых семей</t>
  </si>
  <si>
    <t>Формула (округление по правилам математического округления))</t>
  </si>
  <si>
    <t xml:space="preserve"> (Формула (округление в большую сторону))</t>
  </si>
  <si>
    <t>Количество претендентов, семей</t>
  </si>
  <si>
    <t>Уровень софинансирования из ФБ (по инженерному калькулятору)</t>
  </si>
  <si>
    <t>Уровень софинансирования из краевого бюджета расходного обязательства i-го муниципального образования, (Yi), %</t>
  </si>
  <si>
    <t>Наименование                  муниципального образования Краснодарского края</t>
  </si>
  <si>
    <t>Корректировка до величины, позволяющей либо включить еще одну молодую семью в список молодых семей - претендентов на получение социальных выплат, либо исключить ее из указанного списка,  рублей + /-</t>
  </si>
  <si>
    <r>
      <t xml:space="preserve">Ci - размер субсидии, предоставляемой бюджету  i-го муниципального образования   с учетом округления, </t>
    </r>
    <r>
      <rPr>
        <b/>
        <sz val="12"/>
        <rFont val="Times New Roman"/>
        <family val="1"/>
      </rPr>
      <t xml:space="preserve">ОКОНЧАТЕЛЬНЫЙ, </t>
    </r>
    <r>
      <rPr>
        <sz val="12"/>
        <rFont val="Times New Roman"/>
        <family val="1"/>
      </rPr>
      <t xml:space="preserve">тыс.руб. </t>
    </r>
  </si>
  <si>
    <r>
      <t xml:space="preserve">Ci - размер субсидии, предоставляемой бюджету  i-го муниципального образования на реализацию мероприятия из краевого бюджета и федерального бюджетов,   </t>
    </r>
    <r>
      <rPr>
        <b/>
        <sz val="12"/>
        <color indexed="8"/>
        <rFont val="Times New Roman"/>
        <family val="1"/>
      </rPr>
      <t xml:space="preserve">с учетом корректировки,  </t>
    </r>
    <r>
      <rPr>
        <sz val="12"/>
        <color indexed="8"/>
        <rFont val="Times New Roman"/>
        <family val="1"/>
      </rPr>
      <t xml:space="preserve">рублей </t>
    </r>
  </si>
  <si>
    <r>
      <t xml:space="preserve">Ci - размер субсидии, предоставляемой бюджету  i-го муниципального образования, </t>
    </r>
    <r>
      <rPr>
        <b/>
        <sz val="12"/>
        <color indexed="8"/>
        <rFont val="Times New Roman"/>
        <family val="1"/>
      </rPr>
      <t>расчитанный в соответствии с формулой,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рублей</t>
    </r>
    <r>
      <rPr>
        <b/>
        <sz val="12"/>
        <color indexed="8"/>
        <rFont val="Times New Roman"/>
        <family val="1"/>
      </rPr>
      <t xml:space="preserve"> </t>
    </r>
  </si>
  <si>
    <t xml:space="preserve">распределения субсидий бюджетам муниципальных образований в целях софинансирования  расходных обязательств муниципальных образований </t>
  </si>
  <si>
    <t xml:space="preserve">на 2020 год </t>
  </si>
  <si>
    <t>Постановление главы администрации (губернатора) Краснодарского края от 12 октября 2015 г. № 967 «Об утверждении государственной программы Краснодарского края «Развитие жилищно-коммунального хозяйства» (Приложение №2  к подпрограмме "Улучшение жилищных условий населения Краснодарского края")</t>
  </si>
  <si>
    <t xml:space="preserve">РАСЧЕТ </t>
  </si>
  <si>
    <t xml:space="preserve">на предоставление социальных выплат молодым семьям на приобретение (строительство) жилья в рамках мероприятия по обеспечению жильем молодых семей мероприятия 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</t>
  </si>
  <si>
    <t>на 2020 год</t>
  </si>
  <si>
    <t>остатки 102 тыс.</t>
  </si>
  <si>
    <t>Ci - объем после корректировки), итого тыс. рублей</t>
  </si>
  <si>
    <t xml:space="preserve"> бюджетам муниципальных образований в 2020 году на предоставление социальных выплат молодым семьям на приобретение (строительство) жилья в рамках мероприятия по обеспечению жильем молодых семей мероприятия  государственной программы Российской Федерации «Обеспечение доступным и комфортным жильем и коммунальными услугами граждан Российской Федерации»                                                                                  </t>
  </si>
  <si>
    <t>Распределение субсидий</t>
  </si>
  <si>
    <r>
      <t xml:space="preserve">Размер субсидии, предоставляемой бюджету  муниципального образования на реализацию мероприятия,                                </t>
    </r>
    <r>
      <rPr>
        <b/>
        <sz val="15"/>
        <color indexed="8"/>
        <rFont val="Times New Roman"/>
        <family val="1"/>
      </rPr>
      <t xml:space="preserve">ФЕДЕРАЛЬНЫЙ БЮДЖЕТ             </t>
    </r>
    <r>
      <rPr>
        <sz val="15"/>
        <color indexed="8"/>
        <rFont val="Times New Roman"/>
        <family val="1"/>
      </rPr>
      <t xml:space="preserve">                  </t>
    </r>
    <r>
      <rPr>
        <b/>
        <sz val="15"/>
        <color indexed="8"/>
        <rFont val="Times New Roman"/>
        <family val="1"/>
      </rPr>
      <t xml:space="preserve">    </t>
    </r>
    <r>
      <rPr>
        <sz val="15"/>
        <color indexed="8"/>
        <rFont val="Times New Roman"/>
        <family val="1"/>
      </rPr>
      <t>тыс.руб</t>
    </r>
  </si>
  <si>
    <r>
      <t xml:space="preserve">Размер субсидии, предоставляемой бюджету  муниципального образования на реализацию мероприятия,                               </t>
    </r>
    <r>
      <rPr>
        <b/>
        <sz val="15"/>
        <color indexed="8"/>
        <rFont val="Times New Roman"/>
        <family val="1"/>
      </rPr>
      <t xml:space="preserve"> КРАЕВОЙ БЮДЖЕТ </t>
    </r>
    <r>
      <rPr>
        <sz val="15"/>
        <color indexed="8"/>
        <rFont val="Times New Roman"/>
        <family val="1"/>
      </rPr>
      <t>тыс.руб</t>
    </r>
  </si>
  <si>
    <r>
      <t xml:space="preserve">Размер субсидии, предоставляемой бюджету муниципального образования   на реализацию                          </t>
    </r>
    <r>
      <rPr>
        <b/>
        <sz val="15"/>
        <color indexed="8"/>
        <rFont val="Times New Roman"/>
        <family val="1"/>
      </rPr>
      <t>КБ+ФБ</t>
    </r>
    <r>
      <rPr>
        <sz val="15"/>
        <color indexed="8"/>
        <rFont val="Times New Roman"/>
        <family val="1"/>
      </rPr>
      <t xml:space="preserve"> .                               </t>
    </r>
    <r>
      <rPr>
        <b/>
        <sz val="15"/>
        <color indexed="8"/>
        <rFont val="Times New Roman"/>
        <family val="1"/>
      </rPr>
      <t xml:space="preserve">               </t>
    </r>
    <r>
      <rPr>
        <sz val="15"/>
        <color indexed="8"/>
        <rFont val="Times New Roman"/>
        <family val="1"/>
      </rPr>
      <t>тыс. руб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</si>
</sst>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#,##0.0000000000000000"/>
    <numFmt numFmtId="184" formatCode="#,##0.000000000000000000"/>
    <numFmt numFmtId="185" formatCode="#,##0.0"/>
    <numFmt numFmtId="186" formatCode="#,##0.000"/>
    <numFmt numFmtId="187" formatCode="0.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5"/>
      <color theme="1"/>
      <name val="Times New Roman"/>
      <family val="1"/>
    </font>
    <font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/>
    </xf>
    <xf numFmtId="183" fontId="56" fillId="0" borderId="0" xfId="0" applyNumberFormat="1" applyFont="1" applyAlignment="1">
      <alignment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57" fillId="0" borderId="0" xfId="33" applyFont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2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4" fontId="56" fillId="33" borderId="11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4" fontId="58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0" fontId="8" fillId="0" borderId="0" xfId="33" applyFont="1" applyAlignment="1">
      <alignment horizontal="center" vertical="center"/>
      <protection/>
    </xf>
    <xf numFmtId="0" fontId="59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8" fillId="0" borderId="0" xfId="33" applyFont="1" applyBorder="1" applyAlignment="1">
      <alignment vertical="center" wrapText="1"/>
      <protection/>
    </xf>
    <xf numFmtId="0" fontId="60" fillId="0" borderId="0" xfId="33" applyFont="1" applyAlignment="1">
      <alignment horizontal="center" vertical="center"/>
      <protection/>
    </xf>
    <xf numFmtId="0" fontId="60" fillId="0" borderId="0" xfId="33" applyFont="1" applyBorder="1" applyAlignment="1">
      <alignment vertical="center" wrapText="1"/>
      <protection/>
    </xf>
    <xf numFmtId="0" fontId="60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34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4" fontId="56" fillId="5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 vertical="center"/>
    </xf>
    <xf numFmtId="4" fontId="56" fillId="33" borderId="12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/>
    </xf>
    <xf numFmtId="185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61" fillId="0" borderId="0" xfId="33" applyFont="1" applyBorder="1" applyAlignment="1">
      <alignment horizontal="center" vertical="center" wrapText="1"/>
      <protection/>
    </xf>
    <xf numFmtId="183" fontId="56" fillId="33" borderId="10" xfId="0" applyNumberFormat="1" applyFont="1" applyFill="1" applyBorder="1" applyAlignment="1">
      <alignment vertical="center" wrapText="1"/>
    </xf>
    <xf numFmtId="183" fontId="61" fillId="33" borderId="10" xfId="0" applyNumberFormat="1" applyFont="1" applyFill="1" applyBorder="1" applyAlignment="1">
      <alignment horizontal="center" vertical="center"/>
    </xf>
    <xf numFmtId="183" fontId="56" fillId="33" borderId="0" xfId="0" applyNumberFormat="1" applyFont="1" applyFill="1" applyAlignment="1">
      <alignment/>
    </xf>
    <xf numFmtId="4" fontId="6" fillId="34" borderId="10" xfId="0" applyNumberFormat="1" applyFont="1" applyFill="1" applyBorder="1" applyAlignment="1">
      <alignment horizontal="center" vertical="center"/>
    </xf>
    <xf numFmtId="4" fontId="56" fillId="33" borderId="0" xfId="0" applyNumberFormat="1" applyFont="1" applyFill="1" applyAlignment="1">
      <alignment horizontal="center" vertical="center"/>
    </xf>
    <xf numFmtId="185" fontId="6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Alignment="1">
      <alignment horizontal="center" vertical="center"/>
    </xf>
    <xf numFmtId="0" fontId="2" fillId="34" borderId="0" xfId="33" applyFont="1" applyFill="1" applyBorder="1" applyAlignment="1">
      <alignment horizontal="center" vertical="center" wrapText="1"/>
      <protection/>
    </xf>
    <xf numFmtId="4" fontId="56" fillId="34" borderId="0" xfId="0" applyNumberFormat="1" applyFont="1" applyFill="1" applyAlignment="1">
      <alignment horizontal="center" vertical="center"/>
    </xf>
    <xf numFmtId="0" fontId="60" fillId="34" borderId="0" xfId="33" applyFont="1" applyFill="1" applyAlignment="1">
      <alignment horizontal="center" vertical="center"/>
      <protection/>
    </xf>
    <xf numFmtId="0" fontId="57" fillId="34" borderId="11" xfId="0" applyFont="1" applyFill="1" applyBorder="1" applyAlignment="1">
      <alignment horizontal="center" vertical="center" wrapText="1"/>
    </xf>
    <xf numFmtId="4" fontId="56" fillId="34" borderId="11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56" fillId="33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85" fontId="3" fillId="0" borderId="0" xfId="33" applyNumberFormat="1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35" borderId="0" xfId="33" applyFont="1" applyFill="1" applyAlignment="1">
      <alignment horizontal="center" vertical="center"/>
      <protection/>
    </xf>
    <xf numFmtId="0" fontId="8" fillId="35" borderId="0" xfId="33" applyFont="1" applyFill="1" applyAlignment="1">
      <alignment horizontal="center" vertical="center"/>
      <protection/>
    </xf>
    <xf numFmtId="0" fontId="59" fillId="35" borderId="0" xfId="33" applyFont="1" applyFill="1" applyAlignment="1">
      <alignment horizontal="center" vertical="center"/>
      <protection/>
    </xf>
    <xf numFmtId="4" fontId="3" fillId="35" borderId="0" xfId="33" applyNumberFormat="1" applyFont="1" applyFill="1" applyAlignment="1">
      <alignment horizontal="center" vertical="center"/>
      <protection/>
    </xf>
    <xf numFmtId="0" fontId="10" fillId="0" borderId="0" xfId="33" applyFont="1" applyAlignment="1">
      <alignment vertical="center" wrapText="1"/>
      <protection/>
    </xf>
    <xf numFmtId="0" fontId="12" fillId="0" borderId="13" xfId="33" applyFont="1" applyBorder="1" applyAlignment="1">
      <alignment horizontal="center" vertical="center"/>
      <protection/>
    </xf>
    <xf numFmtId="4" fontId="12" fillId="0" borderId="13" xfId="33" applyNumberFormat="1" applyFont="1" applyBorder="1" applyAlignment="1">
      <alignment horizontal="center" vertical="center"/>
      <protection/>
    </xf>
    <xf numFmtId="4" fontId="12" fillId="35" borderId="14" xfId="33" applyNumberFormat="1" applyFont="1" applyFill="1" applyBorder="1" applyAlignment="1">
      <alignment horizontal="center" vertical="center"/>
      <protection/>
    </xf>
    <xf numFmtId="185" fontId="12" fillId="0" borderId="10" xfId="33" applyNumberFormat="1" applyFont="1" applyBorder="1" applyAlignment="1">
      <alignment horizontal="center" vertical="center"/>
      <protection/>
    </xf>
    <xf numFmtId="0" fontId="62" fillId="0" borderId="0" xfId="33" applyFont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0" xfId="33" applyFont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13" fillId="35" borderId="11" xfId="33" applyFont="1" applyFill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4" fontId="13" fillId="0" borderId="13" xfId="33" applyNumberFormat="1" applyFont="1" applyBorder="1" applyAlignment="1">
      <alignment horizontal="center" vertical="center"/>
      <protection/>
    </xf>
    <xf numFmtId="186" fontId="13" fillId="0" borderId="10" xfId="33" applyNumberFormat="1" applyFont="1" applyBorder="1" applyAlignment="1">
      <alignment horizontal="center" vertical="center"/>
      <protection/>
    </xf>
    <xf numFmtId="186" fontId="13" fillId="35" borderId="11" xfId="33" applyNumberFormat="1" applyFont="1" applyFill="1" applyBorder="1" applyAlignment="1">
      <alignment horizontal="center" vertical="center"/>
      <protection/>
    </xf>
    <xf numFmtId="185" fontId="13" fillId="0" borderId="10" xfId="33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0" fillId="0" borderId="0" xfId="33" applyFont="1" applyAlignment="1">
      <alignment horizontal="center" vertical="center" wrapText="1"/>
      <protection/>
    </xf>
    <xf numFmtId="0" fontId="12" fillId="0" borderId="0" xfId="33" applyFont="1" applyBorder="1" applyAlignment="1">
      <alignment horizontal="center" vertical="center" wrapText="1"/>
      <protection/>
    </xf>
    <xf numFmtId="0" fontId="62" fillId="0" borderId="10" xfId="33" applyFont="1" applyFill="1" applyBorder="1" applyAlignment="1">
      <alignment horizontal="center" vertical="center" wrapText="1"/>
      <protection/>
    </xf>
    <xf numFmtId="2" fontId="13" fillId="0" borderId="10" xfId="33" applyNumberFormat="1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left" vertical="center" wrapText="1"/>
      <protection/>
    </xf>
    <xf numFmtId="0" fontId="13" fillId="0" borderId="13" xfId="33" applyFont="1" applyBorder="1" applyAlignment="1">
      <alignment horizontal="center" vertical="center"/>
      <protection/>
    </xf>
    <xf numFmtId="4" fontId="13" fillId="0" borderId="13" xfId="33" applyNumberFormat="1" applyFont="1" applyBorder="1" applyAlignment="1">
      <alignment horizontal="center" vertical="center"/>
      <protection/>
    </xf>
    <xf numFmtId="4" fontId="13" fillId="34" borderId="13" xfId="3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9" fillId="0" borderId="0" xfId="33" applyFont="1" applyBorder="1" applyAlignment="1">
      <alignment horizontal="left" vertical="center" wrapText="1"/>
      <protection/>
    </xf>
    <xf numFmtId="0" fontId="59" fillId="0" borderId="0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59" fillId="0" borderId="15" xfId="33" applyFont="1" applyBorder="1" applyAlignment="1">
      <alignment horizontal="left" vertical="center" wrapText="1"/>
      <protection/>
    </xf>
    <xf numFmtId="0" fontId="59" fillId="0" borderId="15" xfId="0" applyFont="1" applyBorder="1" applyAlignment="1">
      <alignment horizontal="left" vertical="center"/>
    </xf>
    <xf numFmtId="0" fontId="59" fillId="0" borderId="0" xfId="33" applyFont="1" applyBorder="1" applyAlignment="1">
      <alignment horizontal="center" vertical="center" wrapText="1"/>
      <protection/>
    </xf>
    <xf numFmtId="0" fontId="59" fillId="0" borderId="16" xfId="33" applyFont="1" applyBorder="1" applyAlignment="1">
      <alignment horizontal="left" vertical="center" wrapText="1"/>
      <protection/>
    </xf>
    <xf numFmtId="0" fontId="62" fillId="0" borderId="13" xfId="33" applyFont="1" applyBorder="1" applyAlignment="1">
      <alignment horizontal="center" vertical="center" wrapText="1"/>
      <protection/>
    </xf>
    <xf numFmtId="0" fontId="62" fillId="0" borderId="13" xfId="33" applyFont="1" applyFill="1" applyBorder="1" applyAlignment="1">
      <alignment horizontal="center" vertical="center" wrapText="1"/>
      <protection/>
    </xf>
    <xf numFmtId="0" fontId="63" fillId="0" borderId="13" xfId="3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 vertical="center"/>
    </xf>
    <xf numFmtId="0" fontId="62" fillId="35" borderId="10" xfId="33" applyFont="1" applyFill="1" applyBorder="1" applyAlignment="1">
      <alignment horizontal="center" vertical="center" wrapText="1"/>
      <protection/>
    </xf>
    <xf numFmtId="0" fontId="62" fillId="0" borderId="14" xfId="33" applyFont="1" applyFill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4" fontId="12" fillId="0" borderId="13" xfId="33" applyNumberFormat="1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14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4" fontId="12" fillId="0" borderId="14" xfId="33" applyNumberFormat="1" applyFont="1" applyBorder="1" applyAlignment="1">
      <alignment horizontal="center" vertical="center"/>
      <protection/>
    </xf>
    <xf numFmtId="4" fontId="12" fillId="0" borderId="18" xfId="33" applyNumberFormat="1" applyFont="1" applyBorder="1" applyAlignment="1">
      <alignment horizontal="center" vertical="center"/>
      <protection/>
    </xf>
    <xf numFmtId="4" fontId="12" fillId="0" borderId="17" xfId="33" applyNumberFormat="1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0" fillId="0" borderId="0" xfId="33" applyFont="1" applyBorder="1" applyAlignment="1">
      <alignment horizontal="center" vertical="center"/>
      <protection/>
    </xf>
    <xf numFmtId="0" fontId="60" fillId="0" borderId="19" xfId="33" applyFont="1" applyBorder="1" applyAlignment="1">
      <alignment horizontal="center" vertical="center"/>
      <protection/>
    </xf>
    <xf numFmtId="0" fontId="60" fillId="0" borderId="0" xfId="33" applyFont="1" applyBorder="1" applyAlignment="1">
      <alignment horizontal="left" vertical="center" wrapText="1"/>
      <protection/>
    </xf>
    <xf numFmtId="0" fontId="60" fillId="0" borderId="0" xfId="33" applyFont="1" applyBorder="1" applyAlignment="1">
      <alignment horizontal="center" vertical="center" wrapText="1"/>
      <protection/>
    </xf>
    <xf numFmtId="0" fontId="59" fillId="0" borderId="19" xfId="33" applyFont="1" applyBorder="1" applyAlignment="1">
      <alignment horizontal="center" vertical="center"/>
      <protection/>
    </xf>
    <xf numFmtId="0" fontId="60" fillId="0" borderId="15" xfId="3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183" fontId="56" fillId="33" borderId="20" xfId="0" applyNumberFormat="1" applyFont="1" applyFill="1" applyBorder="1" applyAlignment="1">
      <alignment horizontal="center" vertical="center" wrapText="1"/>
    </xf>
    <xf numFmtId="183" fontId="56" fillId="33" borderId="21" xfId="0" applyNumberFormat="1" applyFont="1" applyFill="1" applyBorder="1" applyAlignment="1">
      <alignment horizontal="center" vertical="center" wrapText="1"/>
    </xf>
    <xf numFmtId="183" fontId="56" fillId="33" borderId="22" xfId="0" applyNumberFormat="1" applyFont="1" applyFill="1" applyBorder="1" applyAlignment="1">
      <alignment horizontal="center" vertical="center" wrapText="1"/>
    </xf>
    <xf numFmtId="4" fontId="57" fillId="33" borderId="20" xfId="0" applyNumberFormat="1" applyFont="1" applyFill="1" applyBorder="1" applyAlignment="1">
      <alignment horizontal="center" vertical="center" wrapText="1"/>
    </xf>
    <xf numFmtId="4" fontId="57" fillId="33" borderId="21" xfId="0" applyNumberFormat="1" applyFont="1" applyFill="1" applyBorder="1" applyAlignment="1">
      <alignment horizontal="center" vertical="center" wrapText="1"/>
    </xf>
    <xf numFmtId="4" fontId="57" fillId="33" borderId="22" xfId="0" applyNumberFormat="1" applyFont="1" applyFill="1" applyBorder="1" applyAlignment="1">
      <alignment horizontal="center" vertical="center" wrapText="1"/>
    </xf>
    <xf numFmtId="0" fontId="60" fillId="0" borderId="16" xfId="33" applyFont="1" applyBorder="1" applyAlignment="1">
      <alignment horizontal="left" vertical="center" wrapText="1"/>
      <protection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4" fontId="57" fillId="34" borderId="20" xfId="0" applyNumberFormat="1" applyFont="1" applyFill="1" applyBorder="1" applyAlignment="1">
      <alignment horizontal="center" vertical="center" wrapText="1"/>
    </xf>
    <xf numFmtId="4" fontId="57" fillId="34" borderId="21" xfId="0" applyNumberFormat="1" applyFont="1" applyFill="1" applyBorder="1" applyAlignment="1">
      <alignment horizontal="center" vertical="center" wrapText="1"/>
    </xf>
    <xf numFmtId="4" fontId="57" fillId="34" borderId="22" xfId="0" applyNumberFormat="1" applyFont="1" applyFill="1" applyBorder="1" applyAlignment="1">
      <alignment horizontal="center" vertical="center" wrapText="1"/>
    </xf>
    <xf numFmtId="0" fontId="2" fillId="0" borderId="0" xfId="33" applyFont="1" applyBorder="1" applyAlignment="1">
      <alignment horizontal="center" vertical="center" wrapText="1"/>
      <protection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71</xdr:row>
      <xdr:rowOff>0</xdr:rowOff>
    </xdr:from>
    <xdr:to>
      <xdr:col>6</xdr:col>
      <xdr:colOff>0</xdr:colOff>
      <xdr:row>72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80</xdr:row>
      <xdr:rowOff>38100</xdr:rowOff>
    </xdr:from>
    <xdr:to>
      <xdr:col>6</xdr:col>
      <xdr:colOff>0</xdr:colOff>
      <xdr:row>81</xdr:row>
      <xdr:rowOff>266700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2887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J78"/>
  <sheetViews>
    <sheetView tabSelected="1" zoomScale="70" zoomScaleNormal="70" zoomScaleSheetLayoutView="62" zoomScalePageLayoutView="0" workbookViewId="0" topLeftCell="B1">
      <selection activeCell="AD12" sqref="AD12:AD13"/>
    </sheetView>
  </sheetViews>
  <sheetFormatPr defaultColWidth="9.421875" defaultRowHeight="36" customHeight="1"/>
  <cols>
    <col min="1" max="1" width="0" style="15" hidden="1" customWidth="1"/>
    <col min="2" max="2" width="4.57421875" style="15" customWidth="1"/>
    <col min="3" max="3" width="3.8515625" style="15" customWidth="1"/>
    <col min="4" max="4" width="8.00390625" style="15" customWidth="1"/>
    <col min="5" max="5" width="9.421875" style="21" customWidth="1"/>
    <col min="6" max="6" width="39.140625" style="15" customWidth="1"/>
    <col min="7" max="7" width="14.28125" style="15" hidden="1" customWidth="1"/>
    <col min="8" max="8" width="12.7109375" style="15" hidden="1" customWidth="1"/>
    <col min="9" max="11" width="0" style="15" hidden="1" customWidth="1"/>
    <col min="12" max="12" width="2.140625" style="15" hidden="1" customWidth="1"/>
    <col min="13" max="14" width="0" style="15" hidden="1" customWidth="1"/>
    <col min="15" max="15" width="9.28125" style="15" hidden="1" customWidth="1"/>
    <col min="16" max="19" width="0" style="15" hidden="1" customWidth="1"/>
    <col min="20" max="20" width="6.8515625" style="15" hidden="1" customWidth="1"/>
    <col min="21" max="21" width="2.7109375" style="15" hidden="1" customWidth="1"/>
    <col min="22" max="22" width="29.00390625" style="15" hidden="1" customWidth="1"/>
    <col min="23" max="24" width="0" style="15" hidden="1" customWidth="1"/>
    <col min="25" max="25" width="22.28125" style="15" hidden="1" customWidth="1"/>
    <col min="26" max="26" width="23.28125" style="15" hidden="1" customWidth="1"/>
    <col min="27" max="27" width="0.2890625" style="98" hidden="1" customWidth="1"/>
    <col min="28" max="28" width="32.28125" style="15" customWidth="1"/>
    <col min="29" max="29" width="34.57421875" style="15" customWidth="1"/>
    <col min="30" max="30" width="32.421875" style="15" customWidth="1"/>
    <col min="31" max="16384" width="9.421875" style="15" customWidth="1"/>
  </cols>
  <sheetData>
    <row r="1" spans="4:36" ht="36" customHeight="1">
      <c r="D1" s="117" t="s">
        <v>128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96"/>
      <c r="AF1" s="96"/>
      <c r="AG1" s="96"/>
      <c r="AH1" s="96"/>
      <c r="AI1" s="96"/>
      <c r="AJ1" s="96"/>
    </row>
    <row r="2" spans="3:36" ht="36" customHeight="1">
      <c r="C2" s="118" t="s">
        <v>127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02"/>
      <c r="AF2" s="96"/>
      <c r="AG2" s="96"/>
      <c r="AH2" s="96"/>
      <c r="AI2" s="96"/>
      <c r="AJ2" s="96"/>
    </row>
    <row r="3" spans="3:36" ht="36" customHeight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02"/>
      <c r="AF3" s="87"/>
      <c r="AG3" s="87"/>
      <c r="AH3" s="87"/>
      <c r="AI3" s="87"/>
      <c r="AJ3" s="87"/>
    </row>
    <row r="4" spans="3:36" ht="11.25" customHeight="1"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02"/>
      <c r="AF4" s="95"/>
      <c r="AG4" s="95"/>
      <c r="AH4" s="95"/>
      <c r="AI4" s="95"/>
      <c r="AJ4" s="95"/>
    </row>
    <row r="5" spans="3:36" ht="24" customHeight="1">
      <c r="C5" s="119" t="s">
        <v>120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3"/>
      <c r="AF5" s="127"/>
      <c r="AG5" s="127"/>
      <c r="AH5" s="127"/>
      <c r="AI5" s="127"/>
      <c r="AJ5" s="127"/>
    </row>
    <row r="6" spans="3:36" ht="36" customHeight="1" hidden="1">
      <c r="C6" s="17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99"/>
      <c r="AB6" s="95"/>
      <c r="AC6" s="95"/>
      <c r="AD6" s="95"/>
      <c r="AE6" s="95"/>
      <c r="AF6" s="95"/>
      <c r="AG6" s="95"/>
      <c r="AH6" s="95"/>
      <c r="AI6" s="95"/>
      <c r="AJ6" s="95"/>
    </row>
    <row r="7" spans="3:36" ht="36" customHeight="1" hidden="1">
      <c r="C7" s="18"/>
      <c r="D7" s="129" t="s">
        <v>0</v>
      </c>
      <c r="E7" s="129"/>
      <c r="F7" s="129"/>
      <c r="G7" s="129"/>
      <c r="H7" s="132" t="s">
        <v>27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3"/>
      <c r="AB7" s="94"/>
      <c r="AC7" s="94"/>
      <c r="AD7" s="94"/>
      <c r="AE7" s="94"/>
      <c r="AF7" s="94"/>
      <c r="AG7" s="94"/>
      <c r="AH7" s="94"/>
      <c r="AI7" s="94"/>
      <c r="AJ7" s="94"/>
    </row>
    <row r="8" spans="3:36" ht="36" customHeight="1" hidden="1">
      <c r="C8" s="18"/>
      <c r="D8" s="134"/>
      <c r="E8" s="134"/>
      <c r="F8" s="134"/>
      <c r="G8" s="134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47"/>
      <c r="U8" s="130"/>
      <c r="V8" s="130"/>
      <c r="W8" s="130"/>
      <c r="X8" s="130"/>
      <c r="Y8" s="130"/>
      <c r="Z8" s="130"/>
      <c r="AA8" s="100"/>
      <c r="AB8" s="95"/>
      <c r="AC8" s="95"/>
      <c r="AD8" s="95"/>
      <c r="AE8" s="95"/>
      <c r="AF8" s="95"/>
      <c r="AG8" s="95"/>
      <c r="AH8" s="95"/>
      <c r="AI8" s="95"/>
      <c r="AJ8" s="95"/>
    </row>
    <row r="9" spans="3:36" ht="36" customHeight="1" hidden="1">
      <c r="C9" s="18"/>
      <c r="D9" s="129" t="s">
        <v>1</v>
      </c>
      <c r="E9" s="129"/>
      <c r="F9" s="129"/>
      <c r="G9" s="129"/>
      <c r="H9" s="132" t="s">
        <v>108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3"/>
      <c r="AB9" s="94"/>
      <c r="AC9" s="94"/>
      <c r="AD9" s="94"/>
      <c r="AE9" s="94"/>
      <c r="AF9" s="94"/>
      <c r="AG9" s="127"/>
      <c r="AH9" s="127"/>
      <c r="AI9" s="128"/>
      <c r="AJ9" s="128"/>
    </row>
    <row r="10" spans="3:36" ht="36" customHeight="1" hidden="1">
      <c r="C10" s="18"/>
      <c r="D10" s="130"/>
      <c r="E10" s="130"/>
      <c r="F10" s="130"/>
      <c r="G10" s="130"/>
      <c r="H10" s="130"/>
      <c r="I10" s="130"/>
      <c r="J10" s="130"/>
      <c r="K10" s="47"/>
      <c r="L10" s="47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00"/>
      <c r="AB10" s="126"/>
      <c r="AC10" s="126"/>
      <c r="AD10" s="97"/>
      <c r="AE10" s="97"/>
      <c r="AF10" s="97"/>
      <c r="AG10" s="97"/>
      <c r="AH10" s="126"/>
      <c r="AI10" s="126"/>
      <c r="AJ10" s="19"/>
    </row>
    <row r="11" spans="3:27" ht="36" customHeight="1" hidden="1">
      <c r="C11" s="18"/>
      <c r="D11" s="135" t="s">
        <v>2</v>
      </c>
      <c r="E11" s="135"/>
      <c r="F11" s="135"/>
      <c r="G11" s="135"/>
      <c r="H11" s="129" t="s">
        <v>121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9"/>
    </row>
    <row r="12" spans="3:30" ht="36" customHeight="1">
      <c r="C12" s="136" t="s">
        <v>3</v>
      </c>
      <c r="D12" s="136"/>
      <c r="E12" s="136" t="s">
        <v>4</v>
      </c>
      <c r="F12" s="136"/>
      <c r="G12" s="137" t="s">
        <v>97</v>
      </c>
      <c r="H12" s="137"/>
      <c r="I12" s="138" t="s">
        <v>40</v>
      </c>
      <c r="J12" s="138"/>
      <c r="K12" s="138"/>
      <c r="L12" s="138"/>
      <c r="M12" s="137" t="s">
        <v>36</v>
      </c>
      <c r="N12" s="137"/>
      <c r="O12" s="137"/>
      <c r="P12" s="137"/>
      <c r="Q12" s="137" t="s">
        <v>39</v>
      </c>
      <c r="R12" s="137"/>
      <c r="S12" s="137"/>
      <c r="T12" s="137"/>
      <c r="U12" s="137"/>
      <c r="V12" s="141"/>
      <c r="W12" s="107"/>
      <c r="X12" s="107"/>
      <c r="Y12" s="120" t="s">
        <v>98</v>
      </c>
      <c r="Z12" s="120" t="s">
        <v>28</v>
      </c>
      <c r="AA12" s="140" t="s">
        <v>126</v>
      </c>
      <c r="AB12" s="120" t="s">
        <v>129</v>
      </c>
      <c r="AC12" s="120" t="s">
        <v>130</v>
      </c>
      <c r="AD12" s="121" t="s">
        <v>131</v>
      </c>
    </row>
    <row r="13" spans="3:30" ht="139.5" customHeight="1">
      <c r="C13" s="136"/>
      <c r="D13" s="136"/>
      <c r="E13" s="136"/>
      <c r="F13" s="136"/>
      <c r="G13" s="137"/>
      <c r="H13" s="137"/>
      <c r="I13" s="138"/>
      <c r="J13" s="138"/>
      <c r="K13" s="138"/>
      <c r="L13" s="138"/>
      <c r="M13" s="137"/>
      <c r="N13" s="137"/>
      <c r="O13" s="137"/>
      <c r="P13" s="137"/>
      <c r="Q13" s="137"/>
      <c r="R13" s="137"/>
      <c r="S13" s="137"/>
      <c r="T13" s="137"/>
      <c r="U13" s="137"/>
      <c r="V13" s="141"/>
      <c r="W13" s="107"/>
      <c r="X13" s="107"/>
      <c r="Y13" s="120"/>
      <c r="Z13" s="120"/>
      <c r="AA13" s="140"/>
      <c r="AB13" s="120"/>
      <c r="AC13" s="120"/>
      <c r="AD13" s="121"/>
    </row>
    <row r="14" spans="3:30" ht="20.25" customHeight="1">
      <c r="C14" s="142">
        <v>1</v>
      </c>
      <c r="D14" s="142"/>
      <c r="E14" s="142">
        <v>1</v>
      </c>
      <c r="F14" s="142"/>
      <c r="G14" s="142">
        <v>3</v>
      </c>
      <c r="H14" s="142"/>
      <c r="I14" s="142">
        <v>4</v>
      </c>
      <c r="J14" s="142"/>
      <c r="K14" s="142"/>
      <c r="L14" s="142"/>
      <c r="M14" s="142">
        <v>5</v>
      </c>
      <c r="N14" s="142"/>
      <c r="O14" s="142"/>
      <c r="P14" s="142"/>
      <c r="Q14" s="142">
        <v>6</v>
      </c>
      <c r="R14" s="142"/>
      <c r="S14" s="142"/>
      <c r="T14" s="142"/>
      <c r="U14" s="142"/>
      <c r="V14" s="108"/>
      <c r="W14" s="109"/>
      <c r="X14" s="109"/>
      <c r="Y14" s="110">
        <v>7</v>
      </c>
      <c r="Z14" s="110">
        <v>8</v>
      </c>
      <c r="AA14" s="111">
        <v>9</v>
      </c>
      <c r="AB14" s="112">
        <v>2</v>
      </c>
      <c r="AC14" s="110">
        <v>3</v>
      </c>
      <c r="AD14" s="110">
        <v>4</v>
      </c>
    </row>
    <row r="15" spans="3:30" ht="29.25" customHeight="1">
      <c r="C15" s="123">
        <v>1</v>
      </c>
      <c r="D15" s="123"/>
      <c r="E15" s="122" t="str">
        <f>'КБ (4)'!Q25</f>
        <v>город - курорт Анапа</v>
      </c>
      <c r="F15" s="122"/>
      <c r="G15" s="124">
        <f>'КБ (4)'!S25</f>
        <v>49</v>
      </c>
      <c r="H15" s="124"/>
      <c r="I15" s="124"/>
      <c r="J15" s="124"/>
      <c r="K15" s="124"/>
      <c r="L15" s="124"/>
      <c r="M15" s="125">
        <f>'КБ (4)'!T25/1000</f>
        <v>1683.68</v>
      </c>
      <c r="N15" s="125"/>
      <c r="O15" s="125"/>
      <c r="P15" s="125"/>
      <c r="Q15" s="124">
        <f>'КБ (4)'!AA25/1000</f>
        <v>1752.4</v>
      </c>
      <c r="R15" s="124"/>
      <c r="S15" s="124"/>
      <c r="T15" s="124"/>
      <c r="U15" s="124"/>
      <c r="V15" s="113"/>
      <c r="W15" s="109"/>
      <c r="X15" s="109"/>
      <c r="Y15" s="114">
        <f>'КБ (4)'!V25/1000</f>
        <v>1675.86</v>
      </c>
      <c r="Z15" s="110">
        <f>'КБ (4)'!W25/1000</f>
        <v>347.2179</v>
      </c>
      <c r="AA15" s="115">
        <f>'КБ (4)'!X25/1000</f>
        <v>2023.078</v>
      </c>
      <c r="AB15" s="116">
        <f>'КБ (4)'!Z25/1000</f>
        <v>529.2</v>
      </c>
      <c r="AC15" s="116">
        <f>'КБ (4)'!AC25/1000</f>
        <v>1494</v>
      </c>
      <c r="AD15" s="116">
        <f>AB15+AC15</f>
        <v>2023.2</v>
      </c>
    </row>
    <row r="16" spans="3:30" ht="27.75" customHeight="1">
      <c r="C16" s="123">
        <f>C15+1</f>
        <v>2</v>
      </c>
      <c r="D16" s="123"/>
      <c r="E16" s="122" t="str">
        <f>'КБ (4)'!Q26</f>
        <v>Абинский район</v>
      </c>
      <c r="F16" s="122"/>
      <c r="G16" s="124">
        <f>'КБ (4)'!S26</f>
        <v>59</v>
      </c>
      <c r="H16" s="124"/>
      <c r="I16" s="124"/>
      <c r="J16" s="124"/>
      <c r="K16" s="124"/>
      <c r="L16" s="124"/>
      <c r="M16" s="125">
        <f>'КБ (4)'!T26/1000</f>
        <v>1431.25</v>
      </c>
      <c r="N16" s="125"/>
      <c r="O16" s="125"/>
      <c r="P16" s="125"/>
      <c r="Q16" s="124">
        <f>'КБ (4)'!AA26/1000</f>
        <v>994.6</v>
      </c>
      <c r="R16" s="124"/>
      <c r="S16" s="124"/>
      <c r="T16" s="124"/>
      <c r="U16" s="124"/>
      <c r="V16" s="113"/>
      <c r="W16" s="109"/>
      <c r="X16" s="109"/>
      <c r="Y16" s="114">
        <f>'КБ (4)'!V26/1000</f>
        <v>1424.607</v>
      </c>
      <c r="Z16" s="110">
        <f>'КБ (4)'!W26/1000</f>
        <v>141.36107</v>
      </c>
      <c r="AA16" s="115">
        <f>'КБ (4)'!X26/1000</f>
        <v>1565.968</v>
      </c>
      <c r="AB16" s="116">
        <f>'КБ (4)'!Z26/1000</f>
        <v>409.6</v>
      </c>
      <c r="AC16" s="116">
        <f>'КБ (4)'!AC26/1000</f>
        <v>1156.4</v>
      </c>
      <c r="AD16" s="116">
        <f aca="true" t="shared" si="0" ref="AD16:AD69">AB16+AC16</f>
        <v>1566</v>
      </c>
    </row>
    <row r="17" spans="3:30" ht="36" customHeight="1">
      <c r="C17" s="123">
        <f aca="true" t="shared" si="1" ref="C17:C69">C16+1</f>
        <v>3</v>
      </c>
      <c r="D17" s="123"/>
      <c r="E17" s="122" t="str">
        <f>'КБ (4)'!Q27</f>
        <v>Абинское городское поселение Абинского района</v>
      </c>
      <c r="F17" s="122"/>
      <c r="G17" s="124">
        <f>'КБ (4)'!S27</f>
        <v>60</v>
      </c>
      <c r="H17" s="124"/>
      <c r="I17" s="124"/>
      <c r="J17" s="124"/>
      <c r="K17" s="124"/>
      <c r="L17" s="124"/>
      <c r="M17" s="125">
        <f>'КБ (4)'!T27/1000</f>
        <v>3344.85</v>
      </c>
      <c r="N17" s="125"/>
      <c r="O17" s="125"/>
      <c r="P17" s="125"/>
      <c r="Q17" s="124">
        <f>'КБ (4)'!AA27/1000</f>
        <v>2229.9</v>
      </c>
      <c r="R17" s="124"/>
      <c r="S17" s="124"/>
      <c r="T17" s="124"/>
      <c r="U17" s="124"/>
      <c r="V17" s="113"/>
      <c r="W17" s="109"/>
      <c r="X17" s="109"/>
      <c r="Y17" s="114">
        <f>'КБ (4)'!V27/1000</f>
        <v>3329.317</v>
      </c>
      <c r="Z17" s="110">
        <f>'КБ (4)'!W27/1000</f>
        <v>404.40021</v>
      </c>
      <c r="AA17" s="115">
        <f>'КБ (4)'!X27/1000</f>
        <v>3733.718</v>
      </c>
      <c r="AB17" s="116">
        <f>'КБ (4)'!Z27/1000</f>
        <v>976.6</v>
      </c>
      <c r="AC17" s="116">
        <f>'КБ (4)'!AC27/1000</f>
        <v>2757.2</v>
      </c>
      <c r="AD17" s="116">
        <f t="shared" si="0"/>
        <v>3733.8</v>
      </c>
    </row>
    <row r="18" spans="3:30" ht="36" customHeight="1">
      <c r="C18" s="123">
        <f t="shared" si="1"/>
        <v>4</v>
      </c>
      <c r="D18" s="123"/>
      <c r="E18" s="122" t="str">
        <f>'КБ (4)'!Q28</f>
        <v>Ахтырское городское поселение Абинского района  </v>
      </c>
      <c r="F18" s="122"/>
      <c r="G18" s="124">
        <f>'КБ (4)'!S28</f>
        <v>60</v>
      </c>
      <c r="H18" s="124"/>
      <c r="I18" s="124"/>
      <c r="J18" s="124"/>
      <c r="K18" s="124"/>
      <c r="L18" s="124"/>
      <c r="M18" s="125">
        <f>'КБ (4)'!T28/1000</f>
        <v>1094.94</v>
      </c>
      <c r="N18" s="125"/>
      <c r="O18" s="125"/>
      <c r="P18" s="125"/>
      <c r="Q18" s="124">
        <f>'КБ (4)'!AA28/1000</f>
        <v>729.96</v>
      </c>
      <c r="R18" s="124"/>
      <c r="S18" s="124"/>
      <c r="T18" s="124"/>
      <c r="U18" s="124"/>
      <c r="V18" s="113"/>
      <c r="W18" s="109"/>
      <c r="X18" s="109"/>
      <c r="Y18" s="114">
        <f>'КБ (4)'!V28/1000</f>
        <v>1089.857</v>
      </c>
      <c r="Z18" s="110">
        <f>'КБ (4)'!W28/1000</f>
        <v>161.50454</v>
      </c>
      <c r="AA18" s="115">
        <f>'КБ (4)'!X28/1000</f>
        <v>1251.361</v>
      </c>
      <c r="AB18" s="116">
        <f>'КБ (4)'!Z28/1000</f>
        <v>327.4</v>
      </c>
      <c r="AC18" s="116">
        <f>'КБ (4)'!AC28/1000</f>
        <v>924.1</v>
      </c>
      <c r="AD18" s="116">
        <f t="shared" si="0"/>
        <v>1251.5</v>
      </c>
    </row>
    <row r="19" spans="3:30" ht="36" customHeight="1">
      <c r="C19" s="123">
        <f t="shared" si="1"/>
        <v>5</v>
      </c>
      <c r="D19" s="123"/>
      <c r="E19" s="122" t="str">
        <f>'КБ (4)'!Q29</f>
        <v>Апшеронское городское поселение Апшеронского района</v>
      </c>
      <c r="F19" s="122"/>
      <c r="G19" s="124">
        <f>'КБ (4)'!S29</f>
        <v>60</v>
      </c>
      <c r="H19" s="124"/>
      <c r="I19" s="124"/>
      <c r="J19" s="124"/>
      <c r="K19" s="124"/>
      <c r="L19" s="124"/>
      <c r="M19" s="125">
        <f>'КБ (4)'!T29/1000</f>
        <v>2550</v>
      </c>
      <c r="N19" s="125"/>
      <c r="O19" s="125"/>
      <c r="P19" s="125"/>
      <c r="Q19" s="124">
        <f>'КБ (4)'!AA29/1000</f>
        <v>1700</v>
      </c>
      <c r="R19" s="124"/>
      <c r="S19" s="124"/>
      <c r="T19" s="124"/>
      <c r="U19" s="124"/>
      <c r="V19" s="113"/>
      <c r="W19" s="109"/>
      <c r="X19" s="109"/>
      <c r="Y19" s="114">
        <f>'КБ (4)'!V29/1000</f>
        <v>2538.159</v>
      </c>
      <c r="Z19" s="110">
        <f>'КБ (4)'!W29/1000</f>
        <v>-24.45852</v>
      </c>
      <c r="AA19" s="115">
        <f>'КБ (4)'!X29/1000</f>
        <v>2513.7</v>
      </c>
      <c r="AB19" s="116">
        <f>'КБ (4)'!Z29/1000</f>
        <v>657.5</v>
      </c>
      <c r="AC19" s="116">
        <f>'КБ (4)'!AC29/1000</f>
        <v>1856.3</v>
      </c>
      <c r="AD19" s="116">
        <f t="shared" si="0"/>
        <v>2513.8</v>
      </c>
    </row>
    <row r="20" spans="3:30" ht="36" customHeight="1">
      <c r="C20" s="123">
        <f t="shared" si="1"/>
        <v>6</v>
      </c>
      <c r="D20" s="123"/>
      <c r="E20" s="122" t="str">
        <f>'КБ (4)'!Q30</f>
        <v>Хадыженское городское поселение Апшеронского района</v>
      </c>
      <c r="F20" s="122"/>
      <c r="G20" s="124">
        <f>'КБ (4)'!S30</f>
        <v>44</v>
      </c>
      <c r="H20" s="124"/>
      <c r="I20" s="124"/>
      <c r="J20" s="124"/>
      <c r="K20" s="124"/>
      <c r="L20" s="124"/>
      <c r="M20" s="125">
        <f>'КБ (4)'!T30/1000</f>
        <v>144.14</v>
      </c>
      <c r="N20" s="125"/>
      <c r="O20" s="125"/>
      <c r="P20" s="125"/>
      <c r="Q20" s="124">
        <f>'КБ (4)'!AA30/1000</f>
        <v>183.46</v>
      </c>
      <c r="R20" s="124"/>
      <c r="S20" s="124"/>
      <c r="T20" s="124"/>
      <c r="U20" s="124"/>
      <c r="V20" s="113"/>
      <c r="W20" s="109"/>
      <c r="X20" s="109"/>
      <c r="Y20" s="114">
        <f>'КБ (4)'!V30/1000</f>
        <v>143.475</v>
      </c>
      <c r="Z20" s="110">
        <f>'КБ (4)'!W30/1000</f>
        <v>0.66936</v>
      </c>
      <c r="AA20" s="115">
        <f>'КБ (4)'!X30/1000</f>
        <v>144.144</v>
      </c>
      <c r="AB20" s="116">
        <f>'КБ (4)'!Z30/1000</f>
        <v>37.8</v>
      </c>
      <c r="AC20" s="116">
        <f>'КБ (4)'!AC30/1000</f>
        <v>106.5</v>
      </c>
      <c r="AD20" s="116">
        <f t="shared" si="0"/>
        <v>144.3</v>
      </c>
    </row>
    <row r="21" spans="3:30" ht="27" customHeight="1">
      <c r="C21" s="123">
        <f t="shared" si="1"/>
        <v>7</v>
      </c>
      <c r="D21" s="123"/>
      <c r="E21" s="122" t="str">
        <f>'КБ (4)'!Q31</f>
        <v>город Армавир</v>
      </c>
      <c r="F21" s="122"/>
      <c r="G21" s="124">
        <f>'КБ (4)'!S31</f>
        <v>57</v>
      </c>
      <c r="H21" s="124"/>
      <c r="I21" s="124"/>
      <c r="J21" s="124"/>
      <c r="K21" s="124"/>
      <c r="L21" s="124"/>
      <c r="M21" s="125">
        <f>'КБ (4)'!T31/1000</f>
        <v>3160.19</v>
      </c>
      <c r="N21" s="125"/>
      <c r="O21" s="125"/>
      <c r="P21" s="125"/>
      <c r="Q21" s="124">
        <f>'КБ (4)'!AA31/1000</f>
        <v>2384</v>
      </c>
      <c r="R21" s="124"/>
      <c r="S21" s="124"/>
      <c r="T21" s="124"/>
      <c r="U21" s="124"/>
      <c r="V21" s="113"/>
      <c r="W21" s="109"/>
      <c r="X21" s="109"/>
      <c r="Y21" s="114">
        <f>'КБ (4)'!V31/1000</f>
        <v>3145.511</v>
      </c>
      <c r="Z21" s="110">
        <f>'КБ (4)'!W31/1000</f>
        <v>384.55328</v>
      </c>
      <c r="AA21" s="115">
        <f>'КБ (4)'!X31/1000</f>
        <v>3530.064</v>
      </c>
      <c r="AB21" s="116">
        <f>'КБ (4)'!Z31/1000</f>
        <v>923.4</v>
      </c>
      <c r="AC21" s="116">
        <f>'КБ (4)'!AC31/1000</f>
        <v>2606.8</v>
      </c>
      <c r="AD21" s="116">
        <f t="shared" si="0"/>
        <v>3530.2</v>
      </c>
    </row>
    <row r="22" spans="3:30" ht="31.5" customHeight="1">
      <c r="C22" s="123">
        <f t="shared" si="1"/>
        <v>8</v>
      </c>
      <c r="D22" s="123"/>
      <c r="E22" s="122" t="str">
        <f>'КБ (4)'!Q32</f>
        <v>Белореченский район</v>
      </c>
      <c r="F22" s="122"/>
      <c r="G22" s="124">
        <f>'КБ (4)'!S32</f>
        <v>58</v>
      </c>
      <c r="H22" s="124"/>
      <c r="I22" s="124"/>
      <c r="J22" s="124"/>
      <c r="K22" s="124"/>
      <c r="L22" s="124"/>
      <c r="M22" s="125">
        <f>'КБ (4)'!T32/1000</f>
        <v>2900</v>
      </c>
      <c r="N22" s="125"/>
      <c r="O22" s="125"/>
      <c r="P22" s="125"/>
      <c r="Q22" s="124">
        <f>'КБ (4)'!AA32/1000</f>
        <v>2100</v>
      </c>
      <c r="R22" s="124"/>
      <c r="S22" s="124"/>
      <c r="T22" s="124"/>
      <c r="U22" s="124"/>
      <c r="V22" s="113"/>
      <c r="W22" s="109"/>
      <c r="X22" s="109"/>
      <c r="Y22" s="114">
        <f>'КБ (4)'!V32/1000</f>
        <v>2886.533</v>
      </c>
      <c r="Z22" s="110">
        <f>'КБ (4)'!W32/1000</f>
        <v>-2221.50522</v>
      </c>
      <c r="AA22" s="115">
        <f>'КБ (4)'!X32/1000</f>
        <v>665.028</v>
      </c>
      <c r="AB22" s="116">
        <f>'КБ (4)'!Z32/1000</f>
        <v>174</v>
      </c>
      <c r="AC22" s="116">
        <f>'КБ (4)'!AC32/1000</f>
        <v>491.1</v>
      </c>
      <c r="AD22" s="116">
        <f t="shared" si="0"/>
        <v>665.1</v>
      </c>
    </row>
    <row r="23" spans="3:30" ht="36" customHeight="1">
      <c r="C23" s="123">
        <f t="shared" si="1"/>
        <v>9</v>
      </c>
      <c r="D23" s="123"/>
      <c r="E23" s="122" t="str">
        <f>'КБ (4)'!Q33</f>
        <v>Белореченское городское поселение Белореченского района</v>
      </c>
      <c r="F23" s="122"/>
      <c r="G23" s="124">
        <f>'КБ (4)'!S33</f>
        <v>60</v>
      </c>
      <c r="H23" s="124"/>
      <c r="I23" s="124"/>
      <c r="J23" s="124"/>
      <c r="K23" s="124"/>
      <c r="L23" s="124"/>
      <c r="M23" s="125">
        <f>'КБ (4)'!T33/1000</f>
        <v>5400</v>
      </c>
      <c r="N23" s="125"/>
      <c r="O23" s="125"/>
      <c r="P23" s="125"/>
      <c r="Q23" s="124">
        <f>'КБ (4)'!AA33/1000</f>
        <v>3600</v>
      </c>
      <c r="R23" s="124"/>
      <c r="S23" s="124"/>
      <c r="T23" s="124"/>
      <c r="U23" s="124"/>
      <c r="V23" s="113"/>
      <c r="W23" s="109"/>
      <c r="X23" s="109"/>
      <c r="Y23" s="114">
        <f>'КБ (4)'!V33/1000</f>
        <v>5374.924</v>
      </c>
      <c r="Z23" s="110">
        <f>'КБ (4)'!W33/1000</f>
        <v>38.03607</v>
      </c>
      <c r="AA23" s="115">
        <f>'КБ (4)'!X33/1000</f>
        <v>5412.96</v>
      </c>
      <c r="AB23" s="116">
        <f>'КБ (4)'!Z33/1000</f>
        <v>1415.8</v>
      </c>
      <c r="AC23" s="116">
        <f>'КБ (4)'!AC33/1000</f>
        <v>3997.2</v>
      </c>
      <c r="AD23" s="116">
        <f t="shared" si="0"/>
        <v>5413</v>
      </c>
    </row>
    <row r="24" spans="3:30" ht="22.5" customHeight="1">
      <c r="C24" s="123">
        <f t="shared" si="1"/>
        <v>10</v>
      </c>
      <c r="D24" s="123"/>
      <c r="E24" s="122" t="str">
        <f>'КБ (4)'!Q34</f>
        <v>Брюховецкий район</v>
      </c>
      <c r="F24" s="122"/>
      <c r="G24" s="124">
        <f>'КБ (4)'!S34</f>
        <v>59</v>
      </c>
      <c r="H24" s="124"/>
      <c r="I24" s="124"/>
      <c r="J24" s="124"/>
      <c r="K24" s="124"/>
      <c r="L24" s="124"/>
      <c r="M24" s="125">
        <f>'КБ (4)'!T34/1000</f>
        <v>359.76</v>
      </c>
      <c r="N24" s="125"/>
      <c r="O24" s="125"/>
      <c r="P24" s="125"/>
      <c r="Q24" s="124">
        <f>'КБ (4)'!AA34/1000</f>
        <v>250</v>
      </c>
      <c r="R24" s="124"/>
      <c r="S24" s="124"/>
      <c r="T24" s="124"/>
      <c r="U24" s="124"/>
      <c r="V24" s="113"/>
      <c r="W24" s="109"/>
      <c r="X24" s="109"/>
      <c r="Y24" s="114">
        <f>'КБ (4)'!V34/1000</f>
        <v>358.085</v>
      </c>
      <c r="Z24" s="110">
        <f>'КБ (4)'!W34/1000</f>
        <v>41.24297</v>
      </c>
      <c r="AA24" s="115">
        <f>'КБ (4)'!X34/1000</f>
        <v>399.328</v>
      </c>
      <c r="AB24" s="116">
        <f>'КБ (4)'!Z34/1000</f>
        <v>104.5</v>
      </c>
      <c r="AC24" s="116">
        <f>'КБ (4)'!AC34/1000</f>
        <v>294.9</v>
      </c>
      <c r="AD24" s="116">
        <f t="shared" si="0"/>
        <v>399.4</v>
      </c>
    </row>
    <row r="25" spans="3:30" ht="28.5" customHeight="1">
      <c r="C25" s="123">
        <f t="shared" si="1"/>
        <v>11</v>
      </c>
      <c r="D25" s="123"/>
      <c r="E25" s="122" t="str">
        <f>'КБ (4)'!Q35</f>
        <v>город-курорт Геленджик</v>
      </c>
      <c r="F25" s="122"/>
      <c r="G25" s="124">
        <f>'КБ (4)'!S35</f>
        <v>48</v>
      </c>
      <c r="H25" s="124"/>
      <c r="I25" s="124"/>
      <c r="J25" s="124"/>
      <c r="K25" s="124"/>
      <c r="L25" s="124"/>
      <c r="M25" s="125">
        <f>'КБ (4)'!T35/1000</f>
        <v>5564.43</v>
      </c>
      <c r="N25" s="125"/>
      <c r="O25" s="125"/>
      <c r="P25" s="125"/>
      <c r="Q25" s="124">
        <f>'КБ (4)'!AA35/1000</f>
        <v>6028.13</v>
      </c>
      <c r="R25" s="124"/>
      <c r="S25" s="124"/>
      <c r="T25" s="124"/>
      <c r="U25" s="124"/>
      <c r="V25" s="113"/>
      <c r="W25" s="109"/>
      <c r="X25" s="109"/>
      <c r="Y25" s="114">
        <f>'КБ (4)'!V35/1000</f>
        <v>5538.586</v>
      </c>
      <c r="Z25" s="110">
        <f>'КБ (4)'!W35/1000</f>
        <v>-17.88413</v>
      </c>
      <c r="AA25" s="115">
        <f>'КБ (4)'!X35/1000</f>
        <v>5520.702</v>
      </c>
      <c r="AB25" s="116">
        <f>'КБ (4)'!Z35/1000</f>
        <v>1444</v>
      </c>
      <c r="AC25" s="116">
        <f>'КБ (4)'!AC35/1000</f>
        <v>4076.8</v>
      </c>
      <c r="AD25" s="116">
        <f t="shared" si="0"/>
        <v>5520.8</v>
      </c>
    </row>
    <row r="26" spans="3:30" ht="26.25" customHeight="1">
      <c r="C26" s="123">
        <f t="shared" si="1"/>
        <v>12</v>
      </c>
      <c r="D26" s="123"/>
      <c r="E26" s="122" t="str">
        <f>'КБ (4)'!Q36</f>
        <v>Гулькевичский район</v>
      </c>
      <c r="F26" s="122"/>
      <c r="G26" s="124">
        <f>'КБ (4)'!S36</f>
        <v>58</v>
      </c>
      <c r="H26" s="124"/>
      <c r="I26" s="124"/>
      <c r="J26" s="124"/>
      <c r="K26" s="124"/>
      <c r="L26" s="124"/>
      <c r="M26" s="125">
        <f>'КБ (4)'!T36/1000</f>
        <v>1358.03</v>
      </c>
      <c r="N26" s="125"/>
      <c r="O26" s="125"/>
      <c r="P26" s="125"/>
      <c r="Q26" s="124">
        <f>'КБ (4)'!AA36/1000</f>
        <v>983.4</v>
      </c>
      <c r="R26" s="124"/>
      <c r="S26" s="124"/>
      <c r="T26" s="124"/>
      <c r="U26" s="124"/>
      <c r="V26" s="113"/>
      <c r="W26" s="109"/>
      <c r="X26" s="109"/>
      <c r="Y26" s="114">
        <f>'КБ (4)'!V36/1000</f>
        <v>1351.722</v>
      </c>
      <c r="Z26" s="110">
        <f>'КБ (4)'!W36/1000</f>
        <v>380.43816</v>
      </c>
      <c r="AA26" s="115">
        <f>'КБ (4)'!X36/1000</f>
        <v>1732.16</v>
      </c>
      <c r="AB26" s="116">
        <f>'КБ (4)'!Z36/1000</f>
        <v>453.1</v>
      </c>
      <c r="AC26" s="116">
        <f>'КБ (4)'!AC36/1000</f>
        <v>1279.2</v>
      </c>
      <c r="AD26" s="116">
        <f t="shared" si="0"/>
        <v>1732.3</v>
      </c>
    </row>
    <row r="27" spans="3:30" ht="36" customHeight="1">
      <c r="C27" s="123">
        <f t="shared" si="1"/>
        <v>13</v>
      </c>
      <c r="D27" s="123"/>
      <c r="E27" s="122" t="str">
        <f>'КБ (4)'!Q37</f>
        <v>Гулькевичское городское поселение Гулькевичского района</v>
      </c>
      <c r="F27" s="122"/>
      <c r="G27" s="124">
        <f>'КБ (4)'!S37</f>
        <v>60</v>
      </c>
      <c r="H27" s="124"/>
      <c r="I27" s="124"/>
      <c r="J27" s="124"/>
      <c r="K27" s="124"/>
      <c r="L27" s="124"/>
      <c r="M27" s="125">
        <f>'КБ (4)'!T37/1000</f>
        <v>1432.65</v>
      </c>
      <c r="N27" s="125"/>
      <c r="O27" s="125"/>
      <c r="P27" s="125"/>
      <c r="Q27" s="124">
        <f>'КБ (4)'!AA37/1000</f>
        <v>955.1</v>
      </c>
      <c r="R27" s="124"/>
      <c r="S27" s="124"/>
      <c r="T27" s="124"/>
      <c r="U27" s="124"/>
      <c r="V27" s="113"/>
      <c r="W27" s="109"/>
      <c r="X27" s="109"/>
      <c r="Y27" s="114">
        <f>'КБ (4)'!V37/1000</f>
        <v>1425.997</v>
      </c>
      <c r="Z27" s="110">
        <f>'КБ (4)'!W37/1000</f>
        <v>6.61524</v>
      </c>
      <c r="AA27" s="115">
        <f>'КБ (4)'!X37/1000</f>
        <v>1432.612</v>
      </c>
      <c r="AB27" s="116">
        <f>'КБ (4)'!Z37/1000</f>
        <v>374.8</v>
      </c>
      <c r="AC27" s="116">
        <f>'КБ (4)'!AC37/1000</f>
        <v>1058</v>
      </c>
      <c r="AD27" s="116">
        <f t="shared" si="0"/>
        <v>1432.8</v>
      </c>
    </row>
    <row r="28" spans="3:30" ht="36" customHeight="1">
      <c r="C28" s="123">
        <f t="shared" si="1"/>
        <v>14</v>
      </c>
      <c r="D28" s="123"/>
      <c r="E28" s="122" t="str">
        <f>'КБ (4)'!Q38</f>
        <v>Динской район </v>
      </c>
      <c r="F28" s="122"/>
      <c r="G28" s="124">
        <f>'КБ (4)'!S38</f>
        <v>53</v>
      </c>
      <c r="H28" s="124"/>
      <c r="I28" s="124"/>
      <c r="J28" s="124"/>
      <c r="K28" s="124"/>
      <c r="L28" s="124"/>
      <c r="M28" s="125">
        <f>'КБ (4)'!T38/1000</f>
        <v>2224.42</v>
      </c>
      <c r="N28" s="125"/>
      <c r="O28" s="125"/>
      <c r="P28" s="125"/>
      <c r="Q28" s="124">
        <f>'КБ (4)'!AA38/1000</f>
        <v>1972.6</v>
      </c>
      <c r="R28" s="124"/>
      <c r="S28" s="124"/>
      <c r="T28" s="124"/>
      <c r="U28" s="124"/>
      <c r="V28" s="113"/>
      <c r="W28" s="109"/>
      <c r="X28" s="109"/>
      <c r="Y28" s="114">
        <f>'КБ (4)'!V38/1000</f>
        <v>2214.092</v>
      </c>
      <c r="Z28" s="110">
        <f>'КБ (4)'!W38/1000</f>
        <v>130.43725</v>
      </c>
      <c r="AA28" s="115">
        <f>'КБ (4)'!X38/1000</f>
        <v>2344.529</v>
      </c>
      <c r="AB28" s="116">
        <f>'КБ (4)'!Z38/1000</f>
        <v>613.3</v>
      </c>
      <c r="AC28" s="116">
        <f>'КБ (4)'!AC38/1000</f>
        <v>1731.4</v>
      </c>
      <c r="AD28" s="116">
        <f t="shared" si="0"/>
        <v>2344.7</v>
      </c>
    </row>
    <row r="29" spans="3:30" ht="36" customHeight="1">
      <c r="C29" s="123">
        <f t="shared" si="1"/>
        <v>15</v>
      </c>
      <c r="D29" s="123"/>
      <c r="E29" s="122" t="str">
        <f>'КБ (4)'!Q39</f>
        <v>Ейское городское поселение Ейского района</v>
      </c>
      <c r="F29" s="122"/>
      <c r="G29" s="124">
        <f>'КБ (4)'!S39</f>
        <v>57</v>
      </c>
      <c r="H29" s="124"/>
      <c r="I29" s="124"/>
      <c r="J29" s="124"/>
      <c r="K29" s="124"/>
      <c r="L29" s="124"/>
      <c r="M29" s="125">
        <f>'КБ (4)'!T39/1000</f>
        <v>3237.07</v>
      </c>
      <c r="N29" s="125"/>
      <c r="O29" s="125"/>
      <c r="P29" s="125"/>
      <c r="Q29" s="124">
        <f>'КБ (4)'!AA39/1000</f>
        <v>2442</v>
      </c>
      <c r="R29" s="124"/>
      <c r="S29" s="124"/>
      <c r="T29" s="124"/>
      <c r="U29" s="124"/>
      <c r="V29" s="113"/>
      <c r="W29" s="109"/>
      <c r="X29" s="109"/>
      <c r="Y29" s="114">
        <f>'КБ (4)'!V39/1000</f>
        <v>3222.038</v>
      </c>
      <c r="Z29" s="110">
        <f>'КБ (4)'!W39/1000</f>
        <v>345.37657</v>
      </c>
      <c r="AA29" s="115">
        <f>'КБ (4)'!X39/1000</f>
        <v>3567.414</v>
      </c>
      <c r="AB29" s="116">
        <f>'КБ (4)'!Z39/1000</f>
        <v>933.1</v>
      </c>
      <c r="AC29" s="116">
        <f>'КБ (4)'!AC39/1000</f>
        <v>2634.4</v>
      </c>
      <c r="AD29" s="116">
        <f t="shared" si="0"/>
        <v>3567.5</v>
      </c>
    </row>
    <row r="30" spans="3:30" ht="36" customHeight="1">
      <c r="C30" s="123">
        <f t="shared" si="1"/>
        <v>16</v>
      </c>
      <c r="D30" s="123"/>
      <c r="E30" s="122" t="str">
        <f>'КБ (4)'!Q40</f>
        <v>Кавказский район</v>
      </c>
      <c r="F30" s="122"/>
      <c r="G30" s="124">
        <f>'КБ (4)'!S40</f>
        <v>51</v>
      </c>
      <c r="H30" s="124"/>
      <c r="I30" s="124"/>
      <c r="J30" s="124"/>
      <c r="K30" s="124"/>
      <c r="L30" s="124"/>
      <c r="M30" s="125">
        <f>'КБ (4)'!T40/1000</f>
        <v>532.07</v>
      </c>
      <c r="N30" s="125"/>
      <c r="O30" s="125"/>
      <c r="P30" s="125"/>
      <c r="Q30" s="124">
        <f>'КБ (4)'!AA40/1000</f>
        <v>511.2</v>
      </c>
      <c r="R30" s="124"/>
      <c r="S30" s="124"/>
      <c r="T30" s="124"/>
      <c r="U30" s="124"/>
      <c r="V30" s="113"/>
      <c r="W30" s="109"/>
      <c r="X30" s="109"/>
      <c r="Y30" s="114">
        <f>'КБ (4)'!V40/1000</f>
        <v>529.595</v>
      </c>
      <c r="Z30" s="110">
        <f>'КБ (4)'!W40/1000</f>
        <v>72.02042</v>
      </c>
      <c r="AA30" s="115">
        <f>'КБ (4)'!X40/1000</f>
        <v>601.615</v>
      </c>
      <c r="AB30" s="116">
        <f>'КБ (4)'!Z40/1000</f>
        <v>157.4</v>
      </c>
      <c r="AC30" s="116">
        <f>'КБ (4)'!AC40/1000</f>
        <v>444.3</v>
      </c>
      <c r="AD30" s="116">
        <f t="shared" si="0"/>
        <v>601.7</v>
      </c>
    </row>
    <row r="31" spans="3:30" ht="36" customHeight="1">
      <c r="C31" s="123">
        <f t="shared" si="1"/>
        <v>17</v>
      </c>
      <c r="D31" s="123"/>
      <c r="E31" s="122" t="str">
        <f>'КБ (4)'!Q41</f>
        <v>Кропоткинское городское поселение Кавказского района</v>
      </c>
      <c r="F31" s="122"/>
      <c r="G31" s="124">
        <f>'КБ (4)'!S41</f>
        <v>60</v>
      </c>
      <c r="H31" s="124"/>
      <c r="I31" s="124"/>
      <c r="J31" s="124"/>
      <c r="K31" s="124"/>
      <c r="L31" s="124"/>
      <c r="M31" s="125">
        <f>'КБ (4)'!T41/1000</f>
        <v>1800</v>
      </c>
      <c r="N31" s="125"/>
      <c r="O31" s="125"/>
      <c r="P31" s="125"/>
      <c r="Q31" s="124">
        <f>'КБ (4)'!AA41/1000</f>
        <v>1200</v>
      </c>
      <c r="R31" s="124"/>
      <c r="S31" s="124"/>
      <c r="T31" s="124"/>
      <c r="U31" s="124"/>
      <c r="V31" s="113"/>
      <c r="W31" s="109"/>
      <c r="X31" s="109"/>
      <c r="Y31" s="114">
        <f>'КБ (4)'!V41/1000</f>
        <v>1791.641</v>
      </c>
      <c r="Z31" s="110">
        <f>'КБ (4)'!W41/1000</f>
        <v>154.76007</v>
      </c>
      <c r="AA31" s="115">
        <f>'КБ (4)'!X41/1000</f>
        <v>1946.401</v>
      </c>
      <c r="AB31" s="116">
        <f>'КБ (4)'!Z41/1000</f>
        <v>509.1</v>
      </c>
      <c r="AC31" s="116">
        <f>'КБ (4)'!AC41/1000</f>
        <v>1437.4</v>
      </c>
      <c r="AD31" s="116">
        <f t="shared" si="0"/>
        <v>1946.5</v>
      </c>
    </row>
    <row r="32" spans="3:30" ht="36" customHeight="1">
      <c r="C32" s="123">
        <f t="shared" si="1"/>
        <v>18</v>
      </c>
      <c r="D32" s="123"/>
      <c r="E32" s="122" t="str">
        <f>'КБ (4)'!Q42</f>
        <v>Калининский район</v>
      </c>
      <c r="F32" s="122"/>
      <c r="G32" s="124">
        <f>'КБ (4)'!S42</f>
        <v>60</v>
      </c>
      <c r="H32" s="124"/>
      <c r="I32" s="124"/>
      <c r="J32" s="124"/>
      <c r="K32" s="124"/>
      <c r="L32" s="124"/>
      <c r="M32" s="125">
        <f>'КБ (4)'!T42/1000</f>
        <v>1816.5</v>
      </c>
      <c r="N32" s="125"/>
      <c r="O32" s="125"/>
      <c r="P32" s="125"/>
      <c r="Q32" s="124">
        <f>'КБ (4)'!AA42/1000</f>
        <v>1211</v>
      </c>
      <c r="R32" s="124"/>
      <c r="S32" s="124"/>
      <c r="T32" s="124"/>
      <c r="U32" s="124"/>
      <c r="V32" s="113"/>
      <c r="W32" s="109"/>
      <c r="X32" s="109"/>
      <c r="Y32" s="114">
        <f>'КБ (4)'!V42/1000</f>
        <v>1808.065</v>
      </c>
      <c r="Z32" s="110">
        <f>'КБ (4)'!W42/1000</f>
        <v>-574.27269</v>
      </c>
      <c r="AA32" s="115">
        <f>'КБ (4)'!X42/1000</f>
        <v>1233.792</v>
      </c>
      <c r="AB32" s="116">
        <f>'КБ (4)'!Z42/1000</f>
        <v>322.8</v>
      </c>
      <c r="AC32" s="116">
        <f>'КБ (4)'!AC42/1000</f>
        <v>911.1</v>
      </c>
      <c r="AD32" s="116">
        <f t="shared" si="0"/>
        <v>1233.9</v>
      </c>
    </row>
    <row r="33" spans="3:30" ht="36" customHeight="1">
      <c r="C33" s="123">
        <f t="shared" si="1"/>
        <v>19</v>
      </c>
      <c r="D33" s="123"/>
      <c r="E33" s="122" t="str">
        <f>'КБ (4)'!Q43</f>
        <v>Каневской район</v>
      </c>
      <c r="F33" s="122"/>
      <c r="G33" s="124">
        <f>'КБ (4)'!S43</f>
        <v>56</v>
      </c>
      <c r="H33" s="124"/>
      <c r="I33" s="124"/>
      <c r="J33" s="124"/>
      <c r="K33" s="124"/>
      <c r="L33" s="124"/>
      <c r="M33" s="125">
        <f>'КБ (4)'!T43/1000</f>
        <v>1272.73</v>
      </c>
      <c r="N33" s="125"/>
      <c r="O33" s="125"/>
      <c r="P33" s="125"/>
      <c r="Q33" s="124">
        <f>'КБ (4)'!AA43/1000</f>
        <v>1000</v>
      </c>
      <c r="R33" s="124"/>
      <c r="S33" s="124"/>
      <c r="T33" s="124"/>
      <c r="U33" s="124"/>
      <c r="V33" s="113"/>
      <c r="W33" s="109"/>
      <c r="X33" s="109"/>
      <c r="Y33" s="114">
        <f>'КБ (4)'!V43/1000</f>
        <v>1266.817</v>
      </c>
      <c r="Z33" s="110">
        <f>'КБ (4)'!W43/1000</f>
        <v>-386.02132</v>
      </c>
      <c r="AA33" s="115">
        <f>'КБ (4)'!X43/1000</f>
        <v>880.796</v>
      </c>
      <c r="AB33" s="116">
        <f>'КБ (4)'!Z43/1000</f>
        <v>230.4</v>
      </c>
      <c r="AC33" s="116">
        <f>'КБ (4)'!AC43/1000</f>
        <v>650.5</v>
      </c>
      <c r="AD33" s="116">
        <f t="shared" si="0"/>
        <v>880.9</v>
      </c>
    </row>
    <row r="34" spans="3:30" ht="36" customHeight="1">
      <c r="C34" s="123">
        <f t="shared" si="1"/>
        <v>20</v>
      </c>
      <c r="D34" s="123"/>
      <c r="E34" s="122" t="str">
        <f>'КБ (4)'!Q44</f>
        <v>Кореновский район</v>
      </c>
      <c r="F34" s="122"/>
      <c r="G34" s="124">
        <f>'КБ (4)'!S44</f>
        <v>55</v>
      </c>
      <c r="H34" s="124"/>
      <c r="I34" s="124"/>
      <c r="J34" s="124"/>
      <c r="K34" s="124"/>
      <c r="L34" s="124"/>
      <c r="M34" s="125">
        <f>'КБ (4)'!T44/1000</f>
        <v>3123.01</v>
      </c>
      <c r="N34" s="125"/>
      <c r="O34" s="125"/>
      <c r="P34" s="125"/>
      <c r="Q34" s="124">
        <f>'КБ (4)'!AA44/1000</f>
        <v>2555.19</v>
      </c>
      <c r="R34" s="124"/>
      <c r="S34" s="124"/>
      <c r="T34" s="124"/>
      <c r="U34" s="124"/>
      <c r="V34" s="113"/>
      <c r="W34" s="109"/>
      <c r="X34" s="109"/>
      <c r="Y34" s="114">
        <f>'КБ (4)'!V44/1000</f>
        <v>3108.506</v>
      </c>
      <c r="Z34" s="110">
        <f>'КБ (4)'!W44/1000</f>
        <v>14.50157</v>
      </c>
      <c r="AA34" s="115">
        <f>'КБ (4)'!X44/1000</f>
        <v>3123.008</v>
      </c>
      <c r="AB34" s="116">
        <f>'КБ (4)'!Z44/1000</f>
        <v>816.9</v>
      </c>
      <c r="AC34" s="116">
        <f>'КБ (4)'!AC44/1000</f>
        <v>2306.2</v>
      </c>
      <c r="AD34" s="116">
        <f t="shared" si="0"/>
        <v>3123.1</v>
      </c>
    </row>
    <row r="35" spans="3:30" ht="36" customHeight="1">
      <c r="C35" s="123">
        <f t="shared" si="1"/>
        <v>21</v>
      </c>
      <c r="D35" s="123"/>
      <c r="E35" s="122" t="str">
        <f>'КБ (4)'!Q45</f>
        <v>Кореновское городское поселение Кореновского района</v>
      </c>
      <c r="F35" s="122"/>
      <c r="G35" s="124">
        <f>'КБ (4)'!S45</f>
        <v>58</v>
      </c>
      <c r="H35" s="124"/>
      <c r="I35" s="124"/>
      <c r="J35" s="124"/>
      <c r="K35" s="124"/>
      <c r="L35" s="124"/>
      <c r="M35" s="125">
        <f>'КБ (4)'!T45/1000</f>
        <v>2673.03</v>
      </c>
      <c r="N35" s="125"/>
      <c r="O35" s="125"/>
      <c r="P35" s="125"/>
      <c r="Q35" s="124">
        <f>'КБ (4)'!AA45/1000</f>
        <v>1935.64</v>
      </c>
      <c r="R35" s="124"/>
      <c r="S35" s="124"/>
      <c r="T35" s="124"/>
      <c r="U35" s="124"/>
      <c r="V35" s="113"/>
      <c r="W35" s="109"/>
      <c r="X35" s="109"/>
      <c r="Y35" s="114">
        <f>'КБ (4)'!V45/1000</f>
        <v>2660.615</v>
      </c>
      <c r="Z35" s="110">
        <f>'КБ (4)'!W45/1000</f>
        <v>-369.44765</v>
      </c>
      <c r="AA35" s="115">
        <f>'КБ (4)'!X45/1000</f>
        <v>2291.168</v>
      </c>
      <c r="AB35" s="116">
        <f>'КБ (4)'!Z45/1000</f>
        <v>599.3</v>
      </c>
      <c r="AC35" s="116">
        <f>'КБ (4)'!AC45/1000</f>
        <v>1692</v>
      </c>
      <c r="AD35" s="116">
        <f t="shared" si="0"/>
        <v>2291.3</v>
      </c>
    </row>
    <row r="36" spans="3:30" ht="36" customHeight="1">
      <c r="C36" s="123">
        <f t="shared" si="1"/>
        <v>22</v>
      </c>
      <c r="D36" s="123"/>
      <c r="E36" s="122" t="str">
        <f>'КБ (4)'!Q46</f>
        <v>Красноармейский район</v>
      </c>
      <c r="F36" s="122"/>
      <c r="G36" s="124">
        <f>'КБ (4)'!S46</f>
        <v>59</v>
      </c>
      <c r="H36" s="124"/>
      <c r="I36" s="124"/>
      <c r="J36" s="124"/>
      <c r="K36" s="124"/>
      <c r="L36" s="124"/>
      <c r="M36" s="125">
        <f>'КБ (4)'!T46/1000</f>
        <v>923.15</v>
      </c>
      <c r="N36" s="125"/>
      <c r="O36" s="125"/>
      <c r="P36" s="125"/>
      <c r="Q36" s="124">
        <f>'КБ (4)'!AA46/1000</f>
        <v>641.51</v>
      </c>
      <c r="R36" s="124"/>
      <c r="S36" s="124"/>
      <c r="T36" s="124"/>
      <c r="U36" s="124"/>
      <c r="V36" s="113"/>
      <c r="W36" s="109"/>
      <c r="X36" s="109"/>
      <c r="Y36" s="114">
        <f>'КБ (4)'!V46/1000</f>
        <v>918.86</v>
      </c>
      <c r="Z36" s="110">
        <f>'КБ (4)'!W46/1000</f>
        <v>125.11865</v>
      </c>
      <c r="AA36" s="115">
        <f>'КБ (4)'!X46/1000</f>
        <v>1043.979</v>
      </c>
      <c r="AB36" s="116">
        <f>'КБ (4)'!Z46/1000</f>
        <v>273.1</v>
      </c>
      <c r="AC36" s="116">
        <f>'КБ (4)'!AC46/1000</f>
        <v>771</v>
      </c>
      <c r="AD36" s="116">
        <f t="shared" si="0"/>
        <v>1044.1</v>
      </c>
    </row>
    <row r="37" spans="3:30" ht="36" customHeight="1">
      <c r="C37" s="123">
        <f t="shared" si="1"/>
        <v>23</v>
      </c>
      <c r="D37" s="123"/>
      <c r="E37" s="122" t="str">
        <f>'КБ (4)'!Q47</f>
        <v>город Краснодар</v>
      </c>
      <c r="F37" s="122"/>
      <c r="G37" s="124">
        <f>'КБ (4)'!S47</f>
        <v>40</v>
      </c>
      <c r="H37" s="124"/>
      <c r="I37" s="124"/>
      <c r="J37" s="124"/>
      <c r="K37" s="124"/>
      <c r="L37" s="124"/>
      <c r="M37" s="125">
        <f>'КБ (4)'!T47/1000</f>
        <v>43333.33</v>
      </c>
      <c r="N37" s="125"/>
      <c r="O37" s="125"/>
      <c r="P37" s="125"/>
      <c r="Q37" s="124">
        <f>'КБ (4)'!AA47/1000</f>
        <v>65000</v>
      </c>
      <c r="R37" s="124"/>
      <c r="S37" s="124"/>
      <c r="T37" s="124"/>
      <c r="U37" s="124"/>
      <c r="V37" s="113"/>
      <c r="W37" s="109"/>
      <c r="X37" s="109"/>
      <c r="Y37" s="114">
        <f>'КБ (4)'!V47/1000</f>
        <v>43132.106</v>
      </c>
      <c r="Z37" s="110">
        <f>'КБ (4)'!W47/1000</f>
        <v>335.53134</v>
      </c>
      <c r="AA37" s="115">
        <f>'КБ (4)'!X47/1000</f>
        <v>43467.637</v>
      </c>
      <c r="AB37" s="116">
        <f>'КБ (4)'!Z47/1000</f>
        <v>11368</v>
      </c>
      <c r="AC37" s="116">
        <f>'КБ (4)'!AC47/1000</f>
        <v>32099.7</v>
      </c>
      <c r="AD37" s="116">
        <f t="shared" si="0"/>
        <v>43467.7</v>
      </c>
    </row>
    <row r="38" spans="3:30" ht="36" customHeight="1">
      <c r="C38" s="123">
        <f t="shared" si="1"/>
        <v>24</v>
      </c>
      <c r="D38" s="123"/>
      <c r="E38" s="122" t="str">
        <f>'КБ (4)'!Q48</f>
        <v>Крымское городское поселение Крымского района</v>
      </c>
      <c r="F38" s="122"/>
      <c r="G38" s="124">
        <f>'КБ (4)'!S48</f>
        <v>58</v>
      </c>
      <c r="H38" s="124"/>
      <c r="I38" s="124"/>
      <c r="J38" s="124"/>
      <c r="K38" s="124"/>
      <c r="L38" s="124"/>
      <c r="M38" s="125">
        <f>'КБ (4)'!T48/1000</f>
        <v>9989.6</v>
      </c>
      <c r="N38" s="125"/>
      <c r="O38" s="125"/>
      <c r="P38" s="125"/>
      <c r="Q38" s="124">
        <f>'КБ (4)'!AA48/1000</f>
        <v>7233.85</v>
      </c>
      <c r="R38" s="124"/>
      <c r="S38" s="124"/>
      <c r="T38" s="124"/>
      <c r="U38" s="124"/>
      <c r="V38" s="113"/>
      <c r="W38" s="109"/>
      <c r="X38" s="109"/>
      <c r="Y38" s="114">
        <f>'КБ (4)'!V48/1000</f>
        <v>9943.208</v>
      </c>
      <c r="Z38" s="110">
        <f>'КБ (4)'!W48/1000</f>
        <v>46.38951</v>
      </c>
      <c r="AA38" s="115">
        <f>'КБ (4)'!X48/1000</f>
        <v>9989.598</v>
      </c>
      <c r="AB38" s="116">
        <f>'КБ (4)'!Z48/1000</f>
        <v>2612.9</v>
      </c>
      <c r="AC38" s="116">
        <f>'КБ (4)'!AC48/1000</f>
        <v>7376.8</v>
      </c>
      <c r="AD38" s="116">
        <f t="shared" si="0"/>
        <v>9989.7</v>
      </c>
    </row>
    <row r="39" spans="3:30" ht="36" customHeight="1">
      <c r="C39" s="123">
        <f t="shared" si="1"/>
        <v>25</v>
      </c>
      <c r="D39" s="123"/>
      <c r="E39" s="122" t="str">
        <f>'КБ (4)'!Q49</f>
        <v>Курганинский район</v>
      </c>
      <c r="F39" s="122"/>
      <c r="G39" s="124">
        <f>'КБ (4)'!S49</f>
        <v>59</v>
      </c>
      <c r="H39" s="124"/>
      <c r="I39" s="124"/>
      <c r="J39" s="124"/>
      <c r="K39" s="124"/>
      <c r="L39" s="124"/>
      <c r="M39" s="125">
        <f>'КБ (4)'!T49/1000</f>
        <v>5232.63</v>
      </c>
      <c r="N39" s="125"/>
      <c r="O39" s="125"/>
      <c r="P39" s="125"/>
      <c r="Q39" s="124">
        <f>'КБ (4)'!AA49/1000</f>
        <v>3636.23</v>
      </c>
      <c r="R39" s="124"/>
      <c r="S39" s="124"/>
      <c r="T39" s="124"/>
      <c r="U39" s="124"/>
      <c r="V39" s="113"/>
      <c r="W39" s="109"/>
      <c r="X39" s="109"/>
      <c r="Y39" s="114">
        <f>'КБ (4)'!V49/1000</f>
        <v>5208.331</v>
      </c>
      <c r="Z39" s="110">
        <f>'КБ (4)'!W49/1000</f>
        <v>-38.22515</v>
      </c>
      <c r="AA39" s="115">
        <f>'КБ (4)'!X49/1000</f>
        <v>5170.105</v>
      </c>
      <c r="AB39" s="116">
        <f>'КБ (4)'!Z49/1000</f>
        <v>1352.3</v>
      </c>
      <c r="AC39" s="116">
        <f>'КБ (4)'!AC49/1000</f>
        <v>3817.9</v>
      </c>
      <c r="AD39" s="116">
        <f t="shared" si="0"/>
        <v>5170.2</v>
      </c>
    </row>
    <row r="40" spans="3:30" ht="36" customHeight="1">
      <c r="C40" s="123">
        <f t="shared" si="1"/>
        <v>26</v>
      </c>
      <c r="D40" s="123"/>
      <c r="E40" s="122" t="str">
        <f>'КБ (4)'!Q50</f>
        <v>Курганинское городское поселение Курганинского района</v>
      </c>
      <c r="F40" s="122"/>
      <c r="G40" s="124">
        <f>'КБ (4)'!S50</f>
        <v>60</v>
      </c>
      <c r="H40" s="124"/>
      <c r="I40" s="124"/>
      <c r="J40" s="124"/>
      <c r="K40" s="124"/>
      <c r="L40" s="124"/>
      <c r="M40" s="125">
        <f>'КБ (4)'!T50/1000</f>
        <v>9000</v>
      </c>
      <c r="N40" s="125"/>
      <c r="O40" s="125"/>
      <c r="P40" s="125"/>
      <c r="Q40" s="124">
        <f>'КБ (4)'!AA50/1000</f>
        <v>6000</v>
      </c>
      <c r="R40" s="124"/>
      <c r="S40" s="124"/>
      <c r="T40" s="124"/>
      <c r="U40" s="124"/>
      <c r="V40" s="113"/>
      <c r="W40" s="109"/>
      <c r="X40" s="109"/>
      <c r="Y40" s="114">
        <f>'КБ (4)'!V50/1000</f>
        <v>8958.207</v>
      </c>
      <c r="Z40" s="110">
        <f>'КБ (4)'!W50/1000</f>
        <v>-974.84656</v>
      </c>
      <c r="AA40" s="115">
        <f>'КБ (4)'!X50/1000</f>
        <v>7983.36</v>
      </c>
      <c r="AB40" s="116">
        <f>'КБ (4)'!Z50/1000</f>
        <v>2088.1</v>
      </c>
      <c r="AC40" s="116">
        <f>'КБ (4)'!AC50/1000</f>
        <v>5895.3</v>
      </c>
      <c r="AD40" s="116">
        <f t="shared" si="0"/>
        <v>7983.4</v>
      </c>
    </row>
    <row r="41" spans="3:30" ht="36" customHeight="1">
      <c r="C41" s="123">
        <f t="shared" si="1"/>
        <v>27</v>
      </c>
      <c r="D41" s="123"/>
      <c r="E41" s="122" t="str">
        <f>'КБ (4)'!Q51</f>
        <v>Кущевский район</v>
      </c>
      <c r="F41" s="122"/>
      <c r="G41" s="124">
        <f>'КБ (4)'!S51</f>
        <v>56</v>
      </c>
      <c r="H41" s="124"/>
      <c r="I41" s="124"/>
      <c r="J41" s="124"/>
      <c r="K41" s="124"/>
      <c r="L41" s="124"/>
      <c r="M41" s="125">
        <f>'КБ (4)'!T51/1000</f>
        <v>1839.35</v>
      </c>
      <c r="N41" s="125"/>
      <c r="O41" s="125"/>
      <c r="P41" s="125"/>
      <c r="Q41" s="124">
        <f>'КБ (4)'!AA51/1000</f>
        <v>1445.2</v>
      </c>
      <c r="R41" s="124"/>
      <c r="S41" s="124"/>
      <c r="T41" s="124"/>
      <c r="U41" s="124"/>
      <c r="V41" s="113"/>
      <c r="W41" s="109"/>
      <c r="X41" s="109"/>
      <c r="Y41" s="114">
        <f>'КБ (4)'!V51/1000</f>
        <v>1830.804</v>
      </c>
      <c r="Z41" s="110">
        <f>'КБ (4)'!W51/1000</f>
        <v>-593.9049</v>
      </c>
      <c r="AA41" s="115">
        <f>'КБ (4)'!X51/1000</f>
        <v>1236.899</v>
      </c>
      <c r="AB41" s="116">
        <f>'КБ (4)'!Z51/1000</f>
        <v>323.6</v>
      </c>
      <c r="AC41" s="116">
        <f>'КБ (4)'!AC51/1000</f>
        <v>913.4</v>
      </c>
      <c r="AD41" s="116">
        <f t="shared" si="0"/>
        <v>1237</v>
      </c>
    </row>
    <row r="42" spans="3:30" ht="36" customHeight="1">
      <c r="C42" s="123">
        <f t="shared" si="1"/>
        <v>28</v>
      </c>
      <c r="D42" s="123"/>
      <c r="E42" s="122" t="str">
        <f>'КБ (4)'!Q52</f>
        <v>Лабинское городское поселение Лабинского района</v>
      </c>
      <c r="F42" s="122"/>
      <c r="G42" s="124">
        <f>'КБ (4)'!S52</f>
        <v>60</v>
      </c>
      <c r="H42" s="124"/>
      <c r="I42" s="124"/>
      <c r="J42" s="124"/>
      <c r="K42" s="124"/>
      <c r="L42" s="124"/>
      <c r="M42" s="125">
        <f>'КБ (4)'!T52/1000</f>
        <v>2250</v>
      </c>
      <c r="N42" s="125"/>
      <c r="O42" s="125"/>
      <c r="P42" s="125"/>
      <c r="Q42" s="124">
        <f>'КБ (4)'!AA52/1000</f>
        <v>1500</v>
      </c>
      <c r="R42" s="124"/>
      <c r="S42" s="124"/>
      <c r="T42" s="124"/>
      <c r="U42" s="124"/>
      <c r="V42" s="113"/>
      <c r="W42" s="109"/>
      <c r="X42" s="109"/>
      <c r="Y42" s="114">
        <f>'КБ (4)'!V52/1000</f>
        <v>2239.552</v>
      </c>
      <c r="Z42" s="110">
        <f>'КБ (4)'!W52/1000</f>
        <v>7.62056</v>
      </c>
      <c r="AA42" s="115">
        <f>'КБ (4)'!X52/1000</f>
        <v>2247.172</v>
      </c>
      <c r="AB42" s="116">
        <f>'КБ (4)'!Z52/1000</f>
        <v>587.8</v>
      </c>
      <c r="AC42" s="116">
        <f>'КБ (4)'!AC52/1000</f>
        <v>1659.5</v>
      </c>
      <c r="AD42" s="116">
        <f t="shared" si="0"/>
        <v>2247.3</v>
      </c>
    </row>
    <row r="43" spans="3:30" ht="36" customHeight="1">
      <c r="C43" s="123">
        <f t="shared" si="1"/>
        <v>29</v>
      </c>
      <c r="D43" s="123"/>
      <c r="E43" s="122" t="str">
        <f>'КБ (4)'!Q53</f>
        <v>Ленинградский район </v>
      </c>
      <c r="F43" s="122"/>
      <c r="G43" s="124">
        <f>'КБ (4)'!S53</f>
        <v>57</v>
      </c>
      <c r="H43" s="124"/>
      <c r="I43" s="124"/>
      <c r="J43" s="124"/>
      <c r="K43" s="124"/>
      <c r="L43" s="124"/>
      <c r="M43" s="125">
        <f>'КБ (4)'!T53/1000</f>
        <v>2379.02</v>
      </c>
      <c r="N43" s="125"/>
      <c r="O43" s="125"/>
      <c r="P43" s="125"/>
      <c r="Q43" s="124">
        <f>'КБ (4)'!AA53/1000</f>
        <v>1794.7</v>
      </c>
      <c r="R43" s="124"/>
      <c r="S43" s="124"/>
      <c r="T43" s="124"/>
      <c r="U43" s="124"/>
      <c r="V43" s="113"/>
      <c r="W43" s="109"/>
      <c r="X43" s="109"/>
      <c r="Y43" s="114">
        <f>'КБ (4)'!V53/1000</f>
        <v>2367.973</v>
      </c>
      <c r="Z43" s="110">
        <f>'КБ (4)'!W53/1000</f>
        <v>-14.59723</v>
      </c>
      <c r="AA43" s="115">
        <f>'КБ (4)'!X53/1000</f>
        <v>2353.376</v>
      </c>
      <c r="AB43" s="116">
        <f>'КБ (4)'!Z53/1000</f>
        <v>615.6</v>
      </c>
      <c r="AC43" s="116">
        <f>'КБ (4)'!AC53/1000</f>
        <v>1737.9</v>
      </c>
      <c r="AD43" s="116">
        <f t="shared" si="0"/>
        <v>2353.5</v>
      </c>
    </row>
    <row r="44" spans="3:30" ht="36" customHeight="1">
      <c r="C44" s="123">
        <f t="shared" si="1"/>
        <v>30</v>
      </c>
      <c r="D44" s="123"/>
      <c r="E44" s="122" t="str">
        <f>'КБ (4)'!Q54</f>
        <v>Мостовское городское поселение Мостовского района</v>
      </c>
      <c r="F44" s="122"/>
      <c r="G44" s="124">
        <f>'КБ (4)'!S54</f>
        <v>60</v>
      </c>
      <c r="H44" s="124"/>
      <c r="I44" s="124"/>
      <c r="J44" s="124"/>
      <c r="K44" s="124"/>
      <c r="L44" s="124"/>
      <c r="M44" s="125">
        <f>'КБ (4)'!T54/1000</f>
        <v>839.79</v>
      </c>
      <c r="N44" s="125"/>
      <c r="O44" s="125"/>
      <c r="P44" s="125"/>
      <c r="Q44" s="124">
        <f>'КБ (4)'!AA54/1000</f>
        <v>559.86</v>
      </c>
      <c r="R44" s="124"/>
      <c r="S44" s="124"/>
      <c r="T44" s="124"/>
      <c r="U44" s="124"/>
      <c r="V44" s="113"/>
      <c r="W44" s="109"/>
      <c r="X44" s="109"/>
      <c r="Y44" s="114">
        <f>'КБ (4)'!V54/1000</f>
        <v>835.89</v>
      </c>
      <c r="Z44" s="110">
        <f>'КБ (4)'!W54/1000</f>
        <v>-29.69185</v>
      </c>
      <c r="AA44" s="115">
        <f>'КБ (4)'!X54/1000</f>
        <v>806.198</v>
      </c>
      <c r="AB44" s="116">
        <f>'КБ (4)'!Z54/1000</f>
        <v>210.9</v>
      </c>
      <c r="AC44" s="116">
        <f>'КБ (4)'!AC54/1000</f>
        <v>595.4</v>
      </c>
      <c r="AD44" s="116">
        <f t="shared" si="0"/>
        <v>806.3</v>
      </c>
    </row>
    <row r="45" spans="3:30" ht="36" customHeight="1">
      <c r="C45" s="123">
        <f t="shared" si="1"/>
        <v>31</v>
      </c>
      <c r="D45" s="123"/>
      <c r="E45" s="122" t="str">
        <f>'КБ (4)'!Q55</f>
        <v>Новокубанский район</v>
      </c>
      <c r="F45" s="122"/>
      <c r="G45" s="124">
        <f>'КБ (4)'!S55</f>
        <v>59</v>
      </c>
      <c r="H45" s="124"/>
      <c r="I45" s="124"/>
      <c r="J45" s="124"/>
      <c r="K45" s="124"/>
      <c r="L45" s="124"/>
      <c r="M45" s="125">
        <f>'КБ (4)'!T55/1000</f>
        <v>2415.13</v>
      </c>
      <c r="N45" s="125"/>
      <c r="O45" s="125"/>
      <c r="P45" s="125"/>
      <c r="Q45" s="124">
        <f>'КБ (4)'!AA55/1000</f>
        <v>1678.31</v>
      </c>
      <c r="R45" s="124"/>
      <c r="S45" s="124"/>
      <c r="T45" s="124"/>
      <c r="U45" s="124"/>
      <c r="V45" s="113"/>
      <c r="W45" s="109"/>
      <c r="X45" s="109"/>
      <c r="Y45" s="114">
        <f>'КБ (4)'!V55/1000</f>
        <v>2403.911</v>
      </c>
      <c r="Z45" s="110">
        <f>'КБ (4)'!W55/1000</f>
        <v>170.85143</v>
      </c>
      <c r="AA45" s="115">
        <f>'КБ (4)'!X55/1000</f>
        <v>2574.762</v>
      </c>
      <c r="AB45" s="116">
        <f>'КБ (4)'!Z55/1000</f>
        <v>673.5</v>
      </c>
      <c r="AC45" s="116">
        <f>'КБ (4)'!AC55/1000</f>
        <v>1901.4</v>
      </c>
      <c r="AD45" s="116">
        <f t="shared" si="0"/>
        <v>2574.9</v>
      </c>
    </row>
    <row r="46" spans="3:30" ht="36" customHeight="1">
      <c r="C46" s="123">
        <f t="shared" si="1"/>
        <v>32</v>
      </c>
      <c r="D46" s="123"/>
      <c r="E46" s="122" t="str">
        <f>'КБ (4)'!Q56</f>
        <v>Новокубанское городское поселение Новокубанского района</v>
      </c>
      <c r="F46" s="122"/>
      <c r="G46" s="124">
        <f>'КБ (4)'!S56</f>
        <v>60</v>
      </c>
      <c r="H46" s="124"/>
      <c r="I46" s="124"/>
      <c r="J46" s="124"/>
      <c r="K46" s="124"/>
      <c r="L46" s="124"/>
      <c r="M46" s="125">
        <f>'КБ (4)'!T56/1000</f>
        <v>1424.22</v>
      </c>
      <c r="N46" s="125"/>
      <c r="O46" s="125"/>
      <c r="P46" s="125"/>
      <c r="Q46" s="124">
        <f>'КБ (4)'!AA56/1000</f>
        <v>949.48</v>
      </c>
      <c r="R46" s="124"/>
      <c r="S46" s="124"/>
      <c r="T46" s="124"/>
      <c r="U46" s="124"/>
      <c r="V46" s="113"/>
      <c r="W46" s="109"/>
      <c r="X46" s="109"/>
      <c r="Y46" s="114">
        <f>'КБ (4)'!V56/1000</f>
        <v>1417.606</v>
      </c>
      <c r="Z46" s="110">
        <f>'КБ (4)'!W56/1000</f>
        <v>57.4109</v>
      </c>
      <c r="AA46" s="115">
        <f>'КБ (4)'!X56/1000</f>
        <v>1475.017</v>
      </c>
      <c r="AB46" s="116">
        <f>'КБ (4)'!Z56/1000</f>
        <v>385.8</v>
      </c>
      <c r="AC46" s="116">
        <f>'КБ (4)'!AC56/1000</f>
        <v>1089.3</v>
      </c>
      <c r="AD46" s="116">
        <f t="shared" si="0"/>
        <v>1475.1</v>
      </c>
    </row>
    <row r="47" spans="3:30" ht="36" customHeight="1">
      <c r="C47" s="123">
        <f t="shared" si="1"/>
        <v>33</v>
      </c>
      <c r="D47" s="123"/>
      <c r="E47" s="122" t="str">
        <f>'КБ (4)'!Q57</f>
        <v>Новопокровский район</v>
      </c>
      <c r="F47" s="122"/>
      <c r="G47" s="124">
        <f>'КБ (4)'!S57</f>
        <v>55</v>
      </c>
      <c r="H47" s="124"/>
      <c r="I47" s="124"/>
      <c r="J47" s="124"/>
      <c r="K47" s="124"/>
      <c r="L47" s="124"/>
      <c r="M47" s="125">
        <f>'КБ (4)'!T57/1000</f>
        <v>1659</v>
      </c>
      <c r="N47" s="125"/>
      <c r="O47" s="125"/>
      <c r="P47" s="125"/>
      <c r="Q47" s="124">
        <f>'КБ (4)'!AA57/1000</f>
        <v>1357.37</v>
      </c>
      <c r="R47" s="124"/>
      <c r="S47" s="124"/>
      <c r="T47" s="124"/>
      <c r="U47" s="124"/>
      <c r="V47" s="113"/>
      <c r="W47" s="109"/>
      <c r="X47" s="109"/>
      <c r="Y47" s="114">
        <f>'КБ (4)'!V57/1000</f>
        <v>1651.299</v>
      </c>
      <c r="Z47" s="110">
        <f>'КБ (4)'!W57/1000</f>
        <v>78.30086</v>
      </c>
      <c r="AA47" s="115">
        <f>'КБ (4)'!X57/1000</f>
        <v>1729.6</v>
      </c>
      <c r="AB47" s="116">
        <f>'КБ (4)'!Z57/1000</f>
        <v>452.4</v>
      </c>
      <c r="AC47" s="116">
        <f>'КБ (4)'!AC57/1000</f>
        <v>1277.3</v>
      </c>
      <c r="AD47" s="116">
        <f t="shared" si="0"/>
        <v>1729.7</v>
      </c>
    </row>
    <row r="48" spans="3:30" ht="36" customHeight="1">
      <c r="C48" s="123">
        <f t="shared" si="1"/>
        <v>34</v>
      </c>
      <c r="D48" s="123"/>
      <c r="E48" s="122" t="str">
        <f>'КБ (4)'!Q58</f>
        <v>город Новороссийск</v>
      </c>
      <c r="F48" s="122"/>
      <c r="G48" s="124">
        <f>'КБ (4)'!S58</f>
        <v>42</v>
      </c>
      <c r="H48" s="124"/>
      <c r="I48" s="124"/>
      <c r="J48" s="124"/>
      <c r="K48" s="124"/>
      <c r="L48" s="124"/>
      <c r="M48" s="125">
        <f>'КБ (4)'!T58/1000</f>
        <v>3638.79</v>
      </c>
      <c r="N48" s="125"/>
      <c r="O48" s="125"/>
      <c r="P48" s="125"/>
      <c r="Q48" s="124">
        <f>'КБ (4)'!AA58/1000</f>
        <v>5025</v>
      </c>
      <c r="R48" s="124"/>
      <c r="S48" s="124"/>
      <c r="T48" s="124"/>
      <c r="U48" s="124"/>
      <c r="V48" s="113"/>
      <c r="W48" s="109"/>
      <c r="X48" s="109"/>
      <c r="Y48" s="114">
        <f>'КБ (4)'!V58/1000</f>
        <v>3621.896</v>
      </c>
      <c r="Z48" s="110">
        <f>'КБ (4)'!W58/1000</f>
        <v>135.24888</v>
      </c>
      <c r="AA48" s="115">
        <f>'КБ (4)'!X58/1000</f>
        <v>3757.144</v>
      </c>
      <c r="AB48" s="116">
        <f>'КБ (4)'!Z58/1000</f>
        <v>982.8</v>
      </c>
      <c r="AC48" s="116">
        <f>'КБ (4)'!AC58/1000</f>
        <v>2774.5</v>
      </c>
      <c r="AD48" s="116">
        <f t="shared" si="0"/>
        <v>3757.3</v>
      </c>
    </row>
    <row r="49" spans="3:30" ht="36" customHeight="1">
      <c r="C49" s="123">
        <f t="shared" si="1"/>
        <v>35</v>
      </c>
      <c r="D49" s="123"/>
      <c r="E49" s="122" t="str">
        <f>'КБ (4)'!Q59</f>
        <v>Павловский район</v>
      </c>
      <c r="F49" s="122"/>
      <c r="G49" s="124">
        <f>'КБ (4)'!S59</f>
        <v>59</v>
      </c>
      <c r="H49" s="124"/>
      <c r="I49" s="124"/>
      <c r="J49" s="124"/>
      <c r="K49" s="124"/>
      <c r="L49" s="124"/>
      <c r="M49" s="125">
        <f>'КБ (4)'!T59/1000</f>
        <v>4892.68</v>
      </c>
      <c r="N49" s="125"/>
      <c r="O49" s="125"/>
      <c r="P49" s="125"/>
      <c r="Q49" s="124">
        <f>'КБ (4)'!AA59/1000</f>
        <v>3400</v>
      </c>
      <c r="R49" s="124"/>
      <c r="S49" s="124"/>
      <c r="T49" s="124"/>
      <c r="U49" s="124"/>
      <c r="V49" s="113"/>
      <c r="W49" s="109"/>
      <c r="X49" s="109"/>
      <c r="Y49" s="114">
        <f>'КБ (4)'!V59/1000</f>
        <v>4869.963</v>
      </c>
      <c r="Z49" s="110">
        <f>'КБ (4)'!W59/1000</f>
        <v>81.1333</v>
      </c>
      <c r="AA49" s="115">
        <f>'КБ (4)'!X59/1000</f>
        <v>4951.096</v>
      </c>
      <c r="AB49" s="116">
        <f>'КБ (4)'!Z59/1000</f>
        <v>1295</v>
      </c>
      <c r="AC49" s="116">
        <f>'КБ (4)'!AC59/1000</f>
        <v>3656.2</v>
      </c>
      <c r="AD49" s="116">
        <f t="shared" si="0"/>
        <v>4951.2</v>
      </c>
    </row>
    <row r="50" spans="3:30" ht="36" customHeight="1">
      <c r="C50" s="123">
        <f t="shared" si="1"/>
        <v>36</v>
      </c>
      <c r="D50" s="123"/>
      <c r="E50" s="122" t="str">
        <f>'КБ (4)'!Q60</f>
        <v>Приморско-Ахтарское городское поселение Приморско-Ахтарского района</v>
      </c>
      <c r="F50" s="122"/>
      <c r="G50" s="124">
        <f>'КБ (4)'!S60</f>
        <v>60</v>
      </c>
      <c r="H50" s="124"/>
      <c r="I50" s="124"/>
      <c r="J50" s="124"/>
      <c r="K50" s="124"/>
      <c r="L50" s="124"/>
      <c r="M50" s="125">
        <f>'КБ (4)'!T60/1000</f>
        <v>1887.45</v>
      </c>
      <c r="N50" s="125"/>
      <c r="O50" s="125"/>
      <c r="P50" s="125"/>
      <c r="Q50" s="124">
        <f>'КБ (4)'!AA60/1000</f>
        <v>1258.3</v>
      </c>
      <c r="R50" s="124"/>
      <c r="S50" s="124"/>
      <c r="T50" s="124"/>
      <c r="U50" s="124"/>
      <c r="V50" s="113"/>
      <c r="W50" s="109"/>
      <c r="X50" s="109"/>
      <c r="Y50" s="114">
        <f>'КБ (4)'!V60/1000</f>
        <v>1878.685</v>
      </c>
      <c r="Z50" s="110">
        <f>'КБ (4)'!W60/1000</f>
        <v>-1.09874</v>
      </c>
      <c r="AA50" s="115">
        <f>'КБ (4)'!X60/1000</f>
        <v>1877.586</v>
      </c>
      <c r="AB50" s="116">
        <f>'КБ (4)'!Z60/1000</f>
        <v>491.1</v>
      </c>
      <c r="AC50" s="116">
        <f>'КБ (4)'!AC60/1000</f>
        <v>1386.5</v>
      </c>
      <c r="AD50" s="116">
        <f t="shared" si="0"/>
        <v>1877.6</v>
      </c>
    </row>
    <row r="51" spans="3:30" ht="36" customHeight="1">
      <c r="C51" s="123">
        <f t="shared" si="1"/>
        <v>37</v>
      </c>
      <c r="D51" s="123"/>
      <c r="E51" s="122" t="str">
        <f>'КБ (4)'!Q61</f>
        <v>Северский район</v>
      </c>
      <c r="F51" s="122"/>
      <c r="G51" s="124">
        <f>'КБ (4)'!S61</f>
        <v>50</v>
      </c>
      <c r="H51" s="124"/>
      <c r="I51" s="124"/>
      <c r="J51" s="124"/>
      <c r="K51" s="124"/>
      <c r="L51" s="124"/>
      <c r="M51" s="125">
        <f>'КБ (4)'!T61/1000</f>
        <v>1761.6</v>
      </c>
      <c r="N51" s="125"/>
      <c r="O51" s="125"/>
      <c r="P51" s="125"/>
      <c r="Q51" s="124">
        <f>'КБ (4)'!AA61/1000</f>
        <v>1761.6</v>
      </c>
      <c r="R51" s="124"/>
      <c r="S51" s="124"/>
      <c r="T51" s="124"/>
      <c r="U51" s="124"/>
      <c r="V51" s="113"/>
      <c r="W51" s="109"/>
      <c r="X51" s="109"/>
      <c r="Y51" s="114">
        <f>'КБ (4)'!V61/1000</f>
        <v>1753.42</v>
      </c>
      <c r="Z51" s="110">
        <f>'КБ (4)'!W61/1000</f>
        <v>310.94547</v>
      </c>
      <c r="AA51" s="115">
        <f>'КБ (4)'!X61/1000</f>
        <v>2064.365</v>
      </c>
      <c r="AB51" s="116">
        <f>'КБ (4)'!Z61/1000</f>
        <v>540</v>
      </c>
      <c r="AC51" s="116">
        <f>'КБ (4)'!AC61/1000</f>
        <v>1524.5</v>
      </c>
      <c r="AD51" s="116">
        <f t="shared" si="0"/>
        <v>2064.5</v>
      </c>
    </row>
    <row r="52" spans="3:30" ht="36" customHeight="1">
      <c r="C52" s="123">
        <f t="shared" si="1"/>
        <v>38</v>
      </c>
      <c r="D52" s="123"/>
      <c r="E52" s="122" t="str">
        <f>'КБ (4)'!Q62</f>
        <v>Афипское городское поселение Северского района</v>
      </c>
      <c r="F52" s="122"/>
      <c r="G52" s="124">
        <f>'КБ (4)'!S62</f>
        <v>50</v>
      </c>
      <c r="H52" s="124"/>
      <c r="I52" s="124"/>
      <c r="J52" s="124"/>
      <c r="K52" s="124"/>
      <c r="L52" s="124"/>
      <c r="M52" s="125">
        <f>'КБ (4)'!T62/1000</f>
        <v>850</v>
      </c>
      <c r="N52" s="125"/>
      <c r="O52" s="125"/>
      <c r="P52" s="125"/>
      <c r="Q52" s="124">
        <f>'КБ (4)'!AA62/1000</f>
        <v>850</v>
      </c>
      <c r="R52" s="124"/>
      <c r="S52" s="124"/>
      <c r="T52" s="124"/>
      <c r="U52" s="124"/>
      <c r="V52" s="113"/>
      <c r="W52" s="109"/>
      <c r="X52" s="109"/>
      <c r="Y52" s="114">
        <f>'КБ (4)'!V62/1000</f>
        <v>846.053</v>
      </c>
      <c r="Z52" s="110">
        <f>'КБ (4)'!W62/1000</f>
        <v>-68.00315</v>
      </c>
      <c r="AA52" s="115">
        <f>'КБ (4)'!X62/1000</f>
        <v>778.05</v>
      </c>
      <c r="AB52" s="116">
        <f>'КБ (4)'!Z62/1000</f>
        <v>203.6</v>
      </c>
      <c r="AC52" s="116">
        <f>'КБ (4)'!AC62/1000</f>
        <v>574.6</v>
      </c>
      <c r="AD52" s="116">
        <f t="shared" si="0"/>
        <v>778.2</v>
      </c>
    </row>
    <row r="53" spans="3:30" ht="36" customHeight="1">
      <c r="C53" s="123">
        <f t="shared" si="1"/>
        <v>39</v>
      </c>
      <c r="D53" s="123"/>
      <c r="E53" s="122" t="str">
        <f>'КБ (4)'!Q63</f>
        <v>Ильское городское поселение Северского района</v>
      </c>
      <c r="F53" s="122"/>
      <c r="G53" s="124">
        <f>'КБ (4)'!S63</f>
        <v>60</v>
      </c>
      <c r="H53" s="124"/>
      <c r="I53" s="124"/>
      <c r="J53" s="124"/>
      <c r="K53" s="124"/>
      <c r="L53" s="124"/>
      <c r="M53" s="125">
        <f>'КБ (4)'!T63/1000</f>
        <v>838.5</v>
      </c>
      <c r="N53" s="125"/>
      <c r="O53" s="125"/>
      <c r="P53" s="125"/>
      <c r="Q53" s="124">
        <f>'КБ (4)'!AA63/1000</f>
        <v>559</v>
      </c>
      <c r="R53" s="124"/>
      <c r="S53" s="124"/>
      <c r="T53" s="124"/>
      <c r="U53" s="124"/>
      <c r="V53" s="113"/>
      <c r="W53" s="109"/>
      <c r="X53" s="109"/>
      <c r="Y53" s="114">
        <f>'КБ (4)'!V63/1000</f>
        <v>834.606</v>
      </c>
      <c r="Z53" s="110">
        <f>'КБ (4)'!W63/1000</f>
        <v>3.85068</v>
      </c>
      <c r="AA53" s="115">
        <f>'КБ (4)'!X63/1000</f>
        <v>838.457</v>
      </c>
      <c r="AB53" s="116">
        <f>'КБ (4)'!Z63/1000</f>
        <v>219.4</v>
      </c>
      <c r="AC53" s="116">
        <f>'КБ (4)'!AC63/1000</f>
        <v>619.2</v>
      </c>
      <c r="AD53" s="116">
        <f t="shared" si="0"/>
        <v>838.6</v>
      </c>
    </row>
    <row r="54" spans="3:30" ht="36" customHeight="1">
      <c r="C54" s="123">
        <f t="shared" si="1"/>
        <v>40</v>
      </c>
      <c r="D54" s="123"/>
      <c r="E54" s="122" t="str">
        <f>'КБ (4)'!Q64</f>
        <v>Славянский район</v>
      </c>
      <c r="F54" s="122"/>
      <c r="G54" s="124">
        <f>'КБ (4)'!S64</f>
        <v>51</v>
      </c>
      <c r="H54" s="124"/>
      <c r="I54" s="124"/>
      <c r="J54" s="124"/>
      <c r="K54" s="124"/>
      <c r="L54" s="124"/>
      <c r="M54" s="125">
        <f>'КБ (4)'!T64/1000</f>
        <v>2792.93</v>
      </c>
      <c r="N54" s="125"/>
      <c r="O54" s="125"/>
      <c r="P54" s="125"/>
      <c r="Q54" s="124">
        <f>'КБ (4)'!AA64/1000</f>
        <v>2683.4</v>
      </c>
      <c r="R54" s="124"/>
      <c r="S54" s="124"/>
      <c r="T54" s="124"/>
      <c r="U54" s="124"/>
      <c r="V54" s="113"/>
      <c r="W54" s="109"/>
      <c r="X54" s="109"/>
      <c r="Y54" s="114">
        <f>'КБ (4)'!V64/1000</f>
        <v>2779.957</v>
      </c>
      <c r="Z54" s="110">
        <f>'КБ (4)'!W64/1000</f>
        <v>378.52164</v>
      </c>
      <c r="AA54" s="115">
        <f>'КБ (4)'!X64/1000</f>
        <v>3158.479</v>
      </c>
      <c r="AB54" s="116">
        <f>'КБ (4)'!Z64/1000</f>
        <v>826.2</v>
      </c>
      <c r="AC54" s="116">
        <f>'КБ (4)'!AC64/1000</f>
        <v>2332.4</v>
      </c>
      <c r="AD54" s="116">
        <f t="shared" si="0"/>
        <v>3158.6</v>
      </c>
    </row>
    <row r="55" spans="3:30" ht="36" customHeight="1">
      <c r="C55" s="123">
        <f t="shared" si="1"/>
        <v>41</v>
      </c>
      <c r="D55" s="123"/>
      <c r="E55" s="122" t="str">
        <f>'КБ (4)'!Q65</f>
        <v>Славянское городское поселение Славянского района</v>
      </c>
      <c r="F55" s="122"/>
      <c r="G55" s="124">
        <f>'КБ (4)'!S65</f>
        <v>51</v>
      </c>
      <c r="H55" s="124"/>
      <c r="I55" s="124"/>
      <c r="J55" s="124"/>
      <c r="K55" s="124"/>
      <c r="L55" s="124"/>
      <c r="M55" s="125">
        <f>'КБ (4)'!T65/1000</f>
        <v>2659.91</v>
      </c>
      <c r="N55" s="125"/>
      <c r="O55" s="125"/>
      <c r="P55" s="125"/>
      <c r="Q55" s="124">
        <f>'КБ (4)'!AA65/1000</f>
        <v>2555.6</v>
      </c>
      <c r="R55" s="124"/>
      <c r="S55" s="124"/>
      <c r="T55" s="124"/>
      <c r="U55" s="124"/>
      <c r="V55" s="113"/>
      <c r="W55" s="109"/>
      <c r="X55" s="109"/>
      <c r="Y55" s="114">
        <f>'КБ (4)'!V65/1000</f>
        <v>2647.562</v>
      </c>
      <c r="Z55" s="110">
        <f>'КБ (4)'!W65/1000</f>
        <v>360.51238</v>
      </c>
      <c r="AA55" s="115">
        <f>'КБ (4)'!X65/1000</f>
        <v>3008.075</v>
      </c>
      <c r="AB55" s="116">
        <f>'КБ (4)'!Z65/1000</f>
        <v>786.8</v>
      </c>
      <c r="AC55" s="116">
        <f>'КБ (4)'!AC65/1000</f>
        <v>2221.3</v>
      </c>
      <c r="AD55" s="116">
        <f t="shared" si="0"/>
        <v>3008.1</v>
      </c>
    </row>
    <row r="56" spans="3:30" ht="36" customHeight="1">
      <c r="C56" s="123">
        <f t="shared" si="1"/>
        <v>42</v>
      </c>
      <c r="D56" s="123"/>
      <c r="E56" s="122" t="str">
        <f>'КБ (4)'!Q66</f>
        <v>город - курорт Сочи</v>
      </c>
      <c r="F56" s="122"/>
      <c r="G56" s="124">
        <f>'КБ (4)'!S66</f>
        <v>43</v>
      </c>
      <c r="H56" s="124"/>
      <c r="I56" s="124"/>
      <c r="J56" s="124"/>
      <c r="K56" s="124"/>
      <c r="L56" s="124"/>
      <c r="M56" s="125">
        <f>'КБ (4)'!T66/1000</f>
        <v>6216.37</v>
      </c>
      <c r="N56" s="125"/>
      <c r="O56" s="125"/>
      <c r="P56" s="125"/>
      <c r="Q56" s="124">
        <f>'КБ (4)'!AA66/1000</f>
        <v>8240.3</v>
      </c>
      <c r="R56" s="124"/>
      <c r="S56" s="124"/>
      <c r="T56" s="124"/>
      <c r="U56" s="124"/>
      <c r="V56" s="113"/>
      <c r="W56" s="109"/>
      <c r="X56" s="109"/>
      <c r="Y56" s="114">
        <f>'КБ (4)'!V66/1000</f>
        <v>6187.5</v>
      </c>
      <c r="Z56" s="110">
        <f>'КБ (4)'!W66/1000</f>
        <v>279.86137</v>
      </c>
      <c r="AA56" s="115">
        <f>'КБ (4)'!X66/1000</f>
        <v>6467.361</v>
      </c>
      <c r="AB56" s="116">
        <f>'КБ (4)'!Z66/1000</f>
        <v>1691.6</v>
      </c>
      <c r="AC56" s="116">
        <f>'КБ (4)'!AC66/1000</f>
        <v>4775.8</v>
      </c>
      <c r="AD56" s="116">
        <f t="shared" si="0"/>
        <v>6467.4</v>
      </c>
    </row>
    <row r="57" spans="3:30" ht="36" customHeight="1">
      <c r="C57" s="123">
        <f t="shared" si="1"/>
        <v>43</v>
      </c>
      <c r="D57" s="123"/>
      <c r="E57" s="122" t="str">
        <f>'КБ (4)'!Q67</f>
        <v>Староминский район</v>
      </c>
      <c r="F57" s="122"/>
      <c r="G57" s="124">
        <f>'КБ (4)'!S67</f>
        <v>54</v>
      </c>
      <c r="H57" s="124"/>
      <c r="I57" s="124"/>
      <c r="J57" s="124"/>
      <c r="K57" s="124"/>
      <c r="L57" s="124"/>
      <c r="M57" s="125">
        <f>'КБ (4)'!T67/1000</f>
        <v>259.46</v>
      </c>
      <c r="N57" s="125"/>
      <c r="O57" s="125"/>
      <c r="P57" s="125"/>
      <c r="Q57" s="124">
        <f>'КБ (4)'!AA67/1000</f>
        <v>221.02</v>
      </c>
      <c r="R57" s="124"/>
      <c r="S57" s="124"/>
      <c r="T57" s="124"/>
      <c r="U57" s="124"/>
      <c r="V57" s="113"/>
      <c r="W57" s="109"/>
      <c r="X57" s="109"/>
      <c r="Y57" s="114">
        <f>'КБ (4)'!V67/1000</f>
        <v>258.252</v>
      </c>
      <c r="Z57" s="110">
        <f>'КБ (4)'!W67/1000</f>
        <v>23.77355</v>
      </c>
      <c r="AA57" s="115">
        <f>'КБ (4)'!X67/1000</f>
        <v>282.026</v>
      </c>
      <c r="AB57" s="116">
        <f>'КБ (4)'!Z67/1000</f>
        <v>73.8</v>
      </c>
      <c r="AC57" s="116">
        <f>'КБ (4)'!AC67/1000</f>
        <v>208.3</v>
      </c>
      <c r="AD57" s="116">
        <f t="shared" si="0"/>
        <v>282.1</v>
      </c>
    </row>
    <row r="58" spans="3:30" ht="36" customHeight="1">
      <c r="C58" s="123">
        <f t="shared" si="1"/>
        <v>44</v>
      </c>
      <c r="D58" s="123"/>
      <c r="E58" s="122" t="str">
        <f>'КБ (4)'!Q68</f>
        <v>Тбилисский район</v>
      </c>
      <c r="F58" s="122"/>
      <c r="G58" s="124">
        <f>'КБ (4)'!S68</f>
        <v>54</v>
      </c>
      <c r="H58" s="124"/>
      <c r="I58" s="124"/>
      <c r="J58" s="124"/>
      <c r="K58" s="124"/>
      <c r="L58" s="124"/>
      <c r="M58" s="125">
        <f>'КБ (4)'!T68/1000</f>
        <v>4596.57</v>
      </c>
      <c r="N58" s="125"/>
      <c r="O58" s="125"/>
      <c r="P58" s="125"/>
      <c r="Q58" s="124">
        <f>'КБ (4)'!AA68/1000</f>
        <v>3915.6</v>
      </c>
      <c r="R58" s="124"/>
      <c r="S58" s="124"/>
      <c r="T58" s="124"/>
      <c r="U58" s="124"/>
      <c r="V58" s="113"/>
      <c r="W58" s="109"/>
      <c r="X58" s="109"/>
      <c r="Y58" s="114">
        <f>'КБ (4)'!V68/1000</f>
        <v>4575.229</v>
      </c>
      <c r="Z58" s="110">
        <f>'КБ (4)'!W68/1000</f>
        <v>-681.09541</v>
      </c>
      <c r="AA58" s="115">
        <f>'КБ (4)'!X68/1000</f>
        <v>3894.133</v>
      </c>
      <c r="AB58" s="116">
        <f>'КБ (4)'!Z68/1000</f>
        <v>1018.6</v>
      </c>
      <c r="AC58" s="116">
        <f>'КБ (4)'!AC68/1000</f>
        <v>2875.7</v>
      </c>
      <c r="AD58" s="116">
        <f t="shared" si="0"/>
        <v>3894.3</v>
      </c>
    </row>
    <row r="59" spans="3:30" ht="36" customHeight="1">
      <c r="C59" s="123">
        <f t="shared" si="1"/>
        <v>45</v>
      </c>
      <c r="D59" s="123"/>
      <c r="E59" s="122" t="str">
        <f>'КБ (4)'!Q69</f>
        <v>Темрюкский район</v>
      </c>
      <c r="F59" s="122"/>
      <c r="G59" s="124">
        <f>'КБ (4)'!S69</f>
        <v>41</v>
      </c>
      <c r="H59" s="124"/>
      <c r="I59" s="124"/>
      <c r="J59" s="124"/>
      <c r="K59" s="124"/>
      <c r="L59" s="124"/>
      <c r="M59" s="125">
        <f>'КБ (4)'!T69/1000</f>
        <v>1352.31</v>
      </c>
      <c r="N59" s="125"/>
      <c r="O59" s="125"/>
      <c r="P59" s="125"/>
      <c r="Q59" s="124">
        <f>'КБ (4)'!AA69/1000</f>
        <v>1946</v>
      </c>
      <c r="R59" s="124"/>
      <c r="S59" s="124"/>
      <c r="T59" s="124"/>
      <c r="U59" s="124"/>
      <c r="V59" s="113"/>
      <c r="W59" s="109"/>
      <c r="X59" s="109"/>
      <c r="Y59" s="114">
        <f>'КБ (4)'!V69/1000</f>
        <v>1346.025</v>
      </c>
      <c r="Z59" s="110">
        <f>'КБ (4)'!W69/1000</f>
        <v>72.03131</v>
      </c>
      <c r="AA59" s="115">
        <f>'КБ (4)'!X69/1000</f>
        <v>1418.057</v>
      </c>
      <c r="AB59" s="116">
        <f>'КБ (4)'!Z69/1000</f>
        <v>371</v>
      </c>
      <c r="AC59" s="116">
        <f>'КБ (4)'!AC69/1000</f>
        <v>1047.2</v>
      </c>
      <c r="AD59" s="116">
        <f t="shared" si="0"/>
        <v>1418.2</v>
      </c>
    </row>
    <row r="60" spans="3:30" ht="36" customHeight="1">
      <c r="C60" s="123">
        <f t="shared" si="1"/>
        <v>46</v>
      </c>
      <c r="D60" s="123"/>
      <c r="E60" s="122" t="str">
        <f>'КБ (4)'!Q70</f>
        <v>Тимашевский район</v>
      </c>
      <c r="F60" s="122"/>
      <c r="G60" s="124">
        <f>'КБ (4)'!S70</f>
        <v>45</v>
      </c>
      <c r="H60" s="124"/>
      <c r="I60" s="124"/>
      <c r="J60" s="124"/>
      <c r="K60" s="124"/>
      <c r="L60" s="124"/>
      <c r="M60" s="125">
        <f>'КБ (4)'!T70/1000</f>
        <v>1373.69</v>
      </c>
      <c r="N60" s="125"/>
      <c r="O60" s="125"/>
      <c r="P60" s="125"/>
      <c r="Q60" s="124">
        <f>'КБ (4)'!AA70/1000</f>
        <v>1678.96</v>
      </c>
      <c r="R60" s="124"/>
      <c r="S60" s="124"/>
      <c r="T60" s="124"/>
      <c r="U60" s="124"/>
      <c r="V60" s="113"/>
      <c r="W60" s="109"/>
      <c r="X60" s="109"/>
      <c r="Y60" s="114">
        <f>'КБ (4)'!V70/1000</f>
        <v>1367.312</v>
      </c>
      <c r="Z60" s="110">
        <f>'КБ (4)'!W70/1000</f>
        <v>57.16186</v>
      </c>
      <c r="AA60" s="115">
        <f>'КБ (4)'!X70/1000</f>
        <v>1424.474</v>
      </c>
      <c r="AB60" s="116">
        <f>'КБ (4)'!Z70/1000</f>
        <v>372.6</v>
      </c>
      <c r="AC60" s="116">
        <f>'КБ (4)'!AC70/1000</f>
        <v>1051.9</v>
      </c>
      <c r="AD60" s="116">
        <f t="shared" si="0"/>
        <v>1424.5</v>
      </c>
    </row>
    <row r="61" spans="3:30" ht="36" customHeight="1">
      <c r="C61" s="123">
        <f t="shared" si="1"/>
        <v>47</v>
      </c>
      <c r="D61" s="123"/>
      <c r="E61" s="122" t="str">
        <f>'КБ (4)'!Q71</f>
        <v>Тимашевское городское поселение Тимашевского района</v>
      </c>
      <c r="F61" s="122"/>
      <c r="G61" s="124">
        <f>'КБ (4)'!S71</f>
        <v>45</v>
      </c>
      <c r="H61" s="124"/>
      <c r="I61" s="124"/>
      <c r="J61" s="124"/>
      <c r="K61" s="124"/>
      <c r="L61" s="124"/>
      <c r="M61" s="125">
        <f>'КБ (4)'!T71/1000</f>
        <v>1761.71</v>
      </c>
      <c r="N61" s="125"/>
      <c r="O61" s="125"/>
      <c r="P61" s="125"/>
      <c r="Q61" s="124">
        <f>'КБ (4)'!AA71/1000</f>
        <v>2153.2</v>
      </c>
      <c r="R61" s="124"/>
      <c r="S61" s="124"/>
      <c r="T61" s="124"/>
      <c r="U61" s="124"/>
      <c r="V61" s="113"/>
      <c r="W61" s="109"/>
      <c r="X61" s="109"/>
      <c r="Y61" s="114">
        <f>'КБ (4)'!V71/1000</f>
        <v>1753.528</v>
      </c>
      <c r="Z61" s="110">
        <f>'КБ (4)'!W71/1000</f>
        <v>-68.63101</v>
      </c>
      <c r="AA61" s="115">
        <f>'КБ (4)'!X71/1000</f>
        <v>1684.897</v>
      </c>
      <c r="AB61" s="116">
        <f>'КБ (4)'!Z71/1000</f>
        <v>440.7</v>
      </c>
      <c r="AC61" s="116">
        <f>'КБ (4)'!AC71/1000</f>
        <v>1244.3</v>
      </c>
      <c r="AD61" s="116">
        <f t="shared" si="0"/>
        <v>1685</v>
      </c>
    </row>
    <row r="62" spans="3:30" ht="36" customHeight="1">
      <c r="C62" s="123">
        <f t="shared" si="1"/>
        <v>48</v>
      </c>
      <c r="D62" s="123"/>
      <c r="E62" s="122" t="str">
        <f>'КБ (4)'!Q72</f>
        <v>Тихорецкий район</v>
      </c>
      <c r="F62" s="122"/>
      <c r="G62" s="124">
        <f>'КБ (4)'!S72</f>
        <v>47</v>
      </c>
      <c r="H62" s="124"/>
      <c r="I62" s="124"/>
      <c r="J62" s="124"/>
      <c r="K62" s="124"/>
      <c r="L62" s="124"/>
      <c r="M62" s="125">
        <f>'КБ (4)'!T72/1000</f>
        <v>2412.08</v>
      </c>
      <c r="N62" s="125"/>
      <c r="O62" s="125"/>
      <c r="P62" s="125"/>
      <c r="Q62" s="124">
        <f>'КБ (4)'!AA72/1000</f>
        <v>2720</v>
      </c>
      <c r="R62" s="124"/>
      <c r="S62" s="124"/>
      <c r="T62" s="124"/>
      <c r="U62" s="124"/>
      <c r="V62" s="113"/>
      <c r="W62" s="109"/>
      <c r="X62" s="109"/>
      <c r="Y62" s="114">
        <f>'КБ (4)'!V72/1000</f>
        <v>2400.874</v>
      </c>
      <c r="Z62" s="110">
        <f>'КБ (4)'!W72/1000</f>
        <v>174.69808</v>
      </c>
      <c r="AA62" s="115">
        <f>'КБ (4)'!X72/1000</f>
        <v>2575.573</v>
      </c>
      <c r="AB62" s="116">
        <f>'КБ (4)'!Z72/1000</f>
        <v>673.7</v>
      </c>
      <c r="AC62" s="116">
        <f>'КБ (4)'!AC72/1000</f>
        <v>1902</v>
      </c>
      <c r="AD62" s="116">
        <f t="shared" si="0"/>
        <v>2575.7</v>
      </c>
    </row>
    <row r="63" spans="3:30" ht="36" customHeight="1">
      <c r="C63" s="123">
        <f t="shared" si="1"/>
        <v>49</v>
      </c>
      <c r="D63" s="123"/>
      <c r="E63" s="122" t="str">
        <f>'КБ (4)'!Q73</f>
        <v>Тихорецкое городское поселение Тихорецкого района</v>
      </c>
      <c r="F63" s="122"/>
      <c r="G63" s="124">
        <f>'КБ (4)'!S73</f>
        <v>60</v>
      </c>
      <c r="H63" s="124"/>
      <c r="I63" s="124"/>
      <c r="J63" s="124"/>
      <c r="K63" s="124"/>
      <c r="L63" s="124"/>
      <c r="M63" s="125">
        <f>'КБ (4)'!T73/1000</f>
        <v>825</v>
      </c>
      <c r="N63" s="125"/>
      <c r="O63" s="125"/>
      <c r="P63" s="125"/>
      <c r="Q63" s="124">
        <f>'КБ (4)'!AA73/1000</f>
        <v>550</v>
      </c>
      <c r="R63" s="124"/>
      <c r="S63" s="124"/>
      <c r="T63" s="124"/>
      <c r="U63" s="124"/>
      <c r="V63" s="113"/>
      <c r="W63" s="109"/>
      <c r="X63" s="109"/>
      <c r="Y63" s="114">
        <f>'КБ (4)'!V73/1000</f>
        <v>821.169</v>
      </c>
      <c r="Z63" s="110">
        <f>'КБ (4)'!W73/1000</f>
        <v>278.87155</v>
      </c>
      <c r="AA63" s="115">
        <f>'КБ (4)'!X73/1000</f>
        <v>1100.04</v>
      </c>
      <c r="AB63" s="116">
        <f>'КБ (4)'!Z73/1000</f>
        <v>287.8</v>
      </c>
      <c r="AC63" s="116">
        <f>'КБ (4)'!AC73/1000</f>
        <v>812.4</v>
      </c>
      <c r="AD63" s="116">
        <f t="shared" si="0"/>
        <v>1100.2</v>
      </c>
    </row>
    <row r="64" spans="3:30" ht="36" customHeight="1">
      <c r="C64" s="123">
        <f t="shared" si="1"/>
        <v>50</v>
      </c>
      <c r="D64" s="123"/>
      <c r="E64" s="122" t="str">
        <f>'КБ (4)'!Q74</f>
        <v>Туапсинский район</v>
      </c>
      <c r="F64" s="122"/>
      <c r="G64" s="124">
        <f>'КБ (4)'!S74</f>
        <v>44</v>
      </c>
      <c r="H64" s="124"/>
      <c r="I64" s="124"/>
      <c r="J64" s="124"/>
      <c r="K64" s="124"/>
      <c r="L64" s="124"/>
      <c r="M64" s="125">
        <f>'КБ (4)'!T74/1000</f>
        <v>1262.15</v>
      </c>
      <c r="N64" s="125"/>
      <c r="O64" s="125"/>
      <c r="P64" s="125"/>
      <c r="Q64" s="124">
        <f>'КБ (4)'!AA74/1000</f>
        <v>1606.38</v>
      </c>
      <c r="R64" s="124"/>
      <c r="S64" s="124"/>
      <c r="T64" s="124"/>
      <c r="U64" s="124"/>
      <c r="V64" s="113"/>
      <c r="W64" s="109"/>
      <c r="X64" s="109"/>
      <c r="Y64" s="114">
        <f>'КБ (4)'!V74/1000</f>
        <v>1256.294</v>
      </c>
      <c r="Z64" s="110">
        <f>'КБ (4)'!W74/1000</f>
        <v>171.06718</v>
      </c>
      <c r="AA64" s="115">
        <f>'КБ (4)'!X74/1000</f>
        <v>1427.361</v>
      </c>
      <c r="AB64" s="116">
        <f>'КБ (4)'!Z74/1000</f>
        <v>373.4</v>
      </c>
      <c r="AC64" s="116">
        <f>'КБ (4)'!AC74/1000</f>
        <v>1054.1</v>
      </c>
      <c r="AD64" s="116">
        <f t="shared" si="0"/>
        <v>1427.5</v>
      </c>
    </row>
    <row r="65" spans="3:30" ht="36" customHeight="1">
      <c r="C65" s="123">
        <f t="shared" si="1"/>
        <v>51</v>
      </c>
      <c r="D65" s="123"/>
      <c r="E65" s="122" t="str">
        <f>'КБ (4)'!Q75</f>
        <v>Новомихайловское городское поселение Туапсинского района</v>
      </c>
      <c r="F65" s="122"/>
      <c r="G65" s="124">
        <f>'КБ (4)'!S75</f>
        <v>41</v>
      </c>
      <c r="H65" s="124"/>
      <c r="I65" s="124"/>
      <c r="J65" s="124"/>
      <c r="K65" s="124"/>
      <c r="L65" s="124"/>
      <c r="M65" s="125">
        <f>'КБ (4)'!T75/1000</f>
        <v>359.92</v>
      </c>
      <c r="N65" s="125"/>
      <c r="O65" s="125"/>
      <c r="P65" s="125"/>
      <c r="Q65" s="124">
        <f>'КБ (4)'!AA75/1000</f>
        <v>517.93</v>
      </c>
      <c r="R65" s="124"/>
      <c r="S65" s="124"/>
      <c r="T65" s="124"/>
      <c r="U65" s="124"/>
      <c r="V65" s="113"/>
      <c r="W65" s="109"/>
      <c r="X65" s="109"/>
      <c r="Y65" s="114">
        <f>'КБ (4)'!V75/1000</f>
        <v>358.246</v>
      </c>
      <c r="Z65" s="110">
        <f>'КБ (4)'!W75/1000</f>
        <v>1.66911</v>
      </c>
      <c r="AA65" s="115">
        <f>'КБ (4)'!X75/1000</f>
        <v>359.915</v>
      </c>
      <c r="AB65" s="116">
        <f>'КБ (4)'!Z75/1000</f>
        <v>94.2</v>
      </c>
      <c r="AC65" s="116">
        <f>'КБ (4)'!AC75/1000</f>
        <v>265.8</v>
      </c>
      <c r="AD65" s="116">
        <f t="shared" si="0"/>
        <v>360</v>
      </c>
    </row>
    <row r="66" spans="3:30" ht="36" customHeight="1">
      <c r="C66" s="123">
        <f t="shared" si="1"/>
        <v>52</v>
      </c>
      <c r="D66" s="123"/>
      <c r="E66" s="122" t="str">
        <f>'КБ (4)'!Q76</f>
        <v>Туапсинское городское поселение Туапсинского района</v>
      </c>
      <c r="F66" s="122"/>
      <c r="G66" s="124">
        <f>'КБ (4)'!S76</f>
        <v>52</v>
      </c>
      <c r="H66" s="124"/>
      <c r="I66" s="124"/>
      <c r="J66" s="124"/>
      <c r="K66" s="124"/>
      <c r="L66" s="124"/>
      <c r="M66" s="125">
        <f>'КБ (4)'!T76/1000</f>
        <v>1628.25</v>
      </c>
      <c r="N66" s="125"/>
      <c r="O66" s="125"/>
      <c r="P66" s="125"/>
      <c r="Q66" s="124">
        <f>'КБ (4)'!AA76/1000</f>
        <v>1503</v>
      </c>
      <c r="R66" s="124"/>
      <c r="S66" s="124"/>
      <c r="T66" s="124"/>
      <c r="U66" s="124"/>
      <c r="V66" s="113"/>
      <c r="W66" s="109"/>
      <c r="X66" s="109"/>
      <c r="Y66" s="114">
        <f>'КБ (4)'!V76/1000</f>
        <v>1620.689</v>
      </c>
      <c r="Z66" s="110">
        <f>'КБ (4)'!W76/1000</f>
        <v>6.55274</v>
      </c>
      <c r="AA66" s="115">
        <f>'КБ (4)'!X76/1000</f>
        <v>1627.242</v>
      </c>
      <c r="AB66" s="116">
        <f>'КБ (4)'!Z76/1000</f>
        <v>425.7</v>
      </c>
      <c r="AC66" s="116">
        <f>'КБ (4)'!AC76/1000</f>
        <v>1201.7</v>
      </c>
      <c r="AD66" s="116">
        <f t="shared" si="0"/>
        <v>1627.4</v>
      </c>
    </row>
    <row r="67" spans="3:30" ht="36" customHeight="1">
      <c r="C67" s="123">
        <f t="shared" si="1"/>
        <v>53</v>
      </c>
      <c r="D67" s="123"/>
      <c r="E67" s="122" t="str">
        <f>'КБ (4)'!Q77</f>
        <v>Успенский район</v>
      </c>
      <c r="F67" s="122"/>
      <c r="G67" s="124">
        <f>'КБ (4)'!S77</f>
        <v>60</v>
      </c>
      <c r="H67" s="124"/>
      <c r="I67" s="124"/>
      <c r="J67" s="124"/>
      <c r="K67" s="124"/>
      <c r="L67" s="124"/>
      <c r="M67" s="125">
        <f>'КБ (4)'!T77/1000</f>
        <v>244.5</v>
      </c>
      <c r="N67" s="125"/>
      <c r="O67" s="125"/>
      <c r="P67" s="125"/>
      <c r="Q67" s="124">
        <f>'КБ (4)'!AA77/1000</f>
        <v>163</v>
      </c>
      <c r="R67" s="124"/>
      <c r="S67" s="124"/>
      <c r="T67" s="124"/>
      <c r="U67" s="124"/>
      <c r="V67" s="113"/>
      <c r="W67" s="109"/>
      <c r="X67" s="109"/>
      <c r="Y67" s="114">
        <f>'КБ (4)'!V77/1000</f>
        <v>243.365</v>
      </c>
      <c r="Z67" s="110">
        <f>'КБ (4)'!W77/1000</f>
        <v>27.09439</v>
      </c>
      <c r="AA67" s="115">
        <f>'КБ (4)'!X77/1000</f>
        <v>270.459</v>
      </c>
      <c r="AB67" s="116">
        <f>'КБ (4)'!Z77/1000</f>
        <v>70.8</v>
      </c>
      <c r="AC67" s="116">
        <f>'КБ (4)'!AC77/1000</f>
        <v>199.8</v>
      </c>
      <c r="AD67" s="116">
        <f t="shared" si="0"/>
        <v>270.6</v>
      </c>
    </row>
    <row r="68" spans="3:30" ht="36" customHeight="1">
      <c r="C68" s="123">
        <f t="shared" si="1"/>
        <v>54</v>
      </c>
      <c r="D68" s="123"/>
      <c r="E68" s="122" t="str">
        <f>'КБ (4)'!Q78</f>
        <v>Усть-Лабинский район</v>
      </c>
      <c r="F68" s="122"/>
      <c r="G68" s="124">
        <f>'КБ (4)'!S78</f>
        <v>52</v>
      </c>
      <c r="H68" s="124"/>
      <c r="I68" s="124"/>
      <c r="J68" s="124"/>
      <c r="K68" s="124"/>
      <c r="L68" s="124"/>
      <c r="M68" s="125">
        <f>'КБ (4)'!T78/1000</f>
        <v>1322.21</v>
      </c>
      <c r="N68" s="125"/>
      <c r="O68" s="125"/>
      <c r="P68" s="125"/>
      <c r="Q68" s="124">
        <f>'КБ (4)'!AA78/1000</f>
        <v>1220.5</v>
      </c>
      <c r="R68" s="124"/>
      <c r="S68" s="124"/>
      <c r="T68" s="124"/>
      <c r="U68" s="124"/>
      <c r="V68" s="113"/>
      <c r="W68" s="109"/>
      <c r="X68" s="109"/>
      <c r="Y68" s="114">
        <f>'КБ (4)'!V78/1000</f>
        <v>1316.068</v>
      </c>
      <c r="Z68" s="110">
        <f>'КБ (4)'!W78/1000</f>
        <v>64.10715</v>
      </c>
      <c r="AA68" s="115">
        <f>'КБ (4)'!X78/1000</f>
        <v>1380.176</v>
      </c>
      <c r="AB68" s="116">
        <f>'КБ (4)'!Z78/1000</f>
        <v>361</v>
      </c>
      <c r="AC68" s="116">
        <f>'КБ (4)'!AC78/1000</f>
        <v>1019.2</v>
      </c>
      <c r="AD68" s="116">
        <f t="shared" si="0"/>
        <v>1380.2</v>
      </c>
    </row>
    <row r="69" spans="3:30" ht="43.5" customHeight="1">
      <c r="C69" s="123">
        <f t="shared" si="1"/>
        <v>55</v>
      </c>
      <c r="D69" s="123"/>
      <c r="E69" s="122" t="str">
        <f>'КБ (4)'!Q79</f>
        <v>Усть-Лабинское городское поселение Усть-Лабинского района</v>
      </c>
      <c r="F69" s="122"/>
      <c r="G69" s="124">
        <f>'КБ (4)'!S79</f>
        <v>46</v>
      </c>
      <c r="H69" s="124"/>
      <c r="I69" s="124"/>
      <c r="J69" s="124"/>
      <c r="K69" s="124"/>
      <c r="L69" s="124"/>
      <c r="M69" s="125">
        <f>'КБ (4)'!T79/1000</f>
        <v>2811.11</v>
      </c>
      <c r="N69" s="125"/>
      <c r="O69" s="125"/>
      <c r="P69" s="125"/>
      <c r="Q69" s="124">
        <f>'КБ (4)'!AA79/1000</f>
        <v>3300</v>
      </c>
      <c r="R69" s="124"/>
      <c r="S69" s="124"/>
      <c r="T69" s="124"/>
      <c r="U69" s="124"/>
      <c r="V69" s="113"/>
      <c r="W69" s="109"/>
      <c r="X69" s="109"/>
      <c r="Y69" s="114">
        <f>'КБ (4)'!V79/1000</f>
        <v>2798.057</v>
      </c>
      <c r="Z69" s="110">
        <f>'КБ (4)'!W79/1000</f>
        <v>186.425</v>
      </c>
      <c r="AA69" s="115">
        <f>'КБ (4)'!X79/1000</f>
        <v>2984.482</v>
      </c>
      <c r="AB69" s="116">
        <f>'КБ (4)'!Z79/1000</f>
        <v>780.7</v>
      </c>
      <c r="AC69" s="116">
        <f>'КБ (4)'!AC79/1000</f>
        <v>2203.9</v>
      </c>
      <c r="AD69" s="116">
        <f t="shared" si="0"/>
        <v>2984.6</v>
      </c>
    </row>
    <row r="70" spans="3:30" s="20" customFormat="1" ht="36" customHeight="1">
      <c r="C70" s="144"/>
      <c r="D70" s="144"/>
      <c r="E70" s="146" t="s">
        <v>5</v>
      </c>
      <c r="F70" s="146"/>
      <c r="G70" s="147" t="s">
        <v>7</v>
      </c>
      <c r="H70" s="148"/>
      <c r="I70" s="149">
        <f>'КБ (4)'!T82/1000</f>
        <v>173326.5</v>
      </c>
      <c r="J70" s="150"/>
      <c r="K70" s="150"/>
      <c r="L70" s="151"/>
      <c r="M70" s="143">
        <f>SUM(M15:P69)</f>
        <v>174135.16</v>
      </c>
      <c r="N70" s="144"/>
      <c r="O70" s="144"/>
      <c r="P70" s="103"/>
      <c r="Q70" s="143">
        <f>SUM(Q15:U69)</f>
        <v>176343.88</v>
      </c>
      <c r="R70" s="144"/>
      <c r="S70" s="144"/>
      <c r="T70" s="144"/>
      <c r="U70" s="144"/>
      <c r="V70" s="103" t="s">
        <v>6</v>
      </c>
      <c r="W70" s="103" t="s">
        <v>6</v>
      </c>
      <c r="X70" s="103" t="s">
        <v>6</v>
      </c>
      <c r="Y70" s="104">
        <f>SUM(Y15:Y69)</f>
        <v>173326.5</v>
      </c>
      <c r="Z70" s="103"/>
      <c r="AA70" s="105">
        <f>SUM(AA15:AA69)</f>
        <v>173320.7</v>
      </c>
      <c r="AB70" s="106">
        <f>SUM(AB15:AB69)</f>
        <v>45334.5</v>
      </c>
      <c r="AC70" s="106">
        <f>SUM(AC15:AC69)</f>
        <v>127992</v>
      </c>
      <c r="AD70" s="106">
        <f>SUM(AD15:AD69)</f>
        <v>173326.5</v>
      </c>
    </row>
    <row r="71" spans="3:28" ht="36" customHeight="1"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6"/>
      <c r="W71" s="145"/>
      <c r="X71" s="145"/>
      <c r="Y71" s="153"/>
      <c r="Z71" s="153"/>
      <c r="AB71" s="93"/>
    </row>
    <row r="72" spans="3:28" ht="36" customHeight="1"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7"/>
      <c r="AB72" s="93"/>
    </row>
    <row r="73" spans="3:28" ht="36" customHeight="1">
      <c r="C73" s="145"/>
      <c r="D73" s="145"/>
      <c r="E73" s="145"/>
      <c r="F73" s="145"/>
      <c r="G73" s="145"/>
      <c r="H73" s="145"/>
      <c r="I73" s="145"/>
      <c r="J73" s="145"/>
      <c r="K73" s="145"/>
      <c r="L73" s="152"/>
      <c r="M73" s="152"/>
      <c r="N73" s="152"/>
      <c r="O73" s="152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7"/>
      <c r="AB73" s="93"/>
    </row>
    <row r="74" spans="3:28" ht="36" customHeight="1">
      <c r="C74" s="145"/>
      <c r="D74" s="145"/>
      <c r="E74" s="145"/>
      <c r="F74" s="145"/>
      <c r="G74" s="145"/>
      <c r="H74" s="145"/>
      <c r="I74" s="145"/>
      <c r="J74" s="145"/>
      <c r="K74" s="145"/>
      <c r="L74" s="145" t="s">
        <v>8</v>
      </c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7"/>
      <c r="AA74" s="101">
        <f>AD70-AA70</f>
        <v>5.8</v>
      </c>
      <c r="AB74" s="93"/>
    </row>
    <row r="75" spans="3:26" ht="36" customHeight="1"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7"/>
    </row>
    <row r="76" spans="3:26" ht="36" customHeight="1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7"/>
    </row>
    <row r="77" spans="3:26" ht="36" customHeight="1">
      <c r="C77" s="145"/>
      <c r="D77" s="145"/>
      <c r="E77" s="145"/>
      <c r="F77" s="145"/>
      <c r="G77" s="145"/>
      <c r="H77" s="145"/>
      <c r="I77" s="145"/>
      <c r="J77" s="145"/>
      <c r="K77" s="145"/>
      <c r="L77" s="152"/>
      <c r="M77" s="152"/>
      <c r="N77" s="152"/>
      <c r="O77" s="152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7"/>
    </row>
    <row r="78" spans="3:26" ht="36" customHeight="1">
      <c r="C78" s="145"/>
      <c r="D78" s="145"/>
      <c r="E78" s="145"/>
      <c r="F78" s="145"/>
      <c r="G78" s="145"/>
      <c r="H78" s="145"/>
      <c r="I78" s="145"/>
      <c r="J78" s="145"/>
      <c r="K78" s="145"/>
      <c r="L78" s="145" t="s">
        <v>8</v>
      </c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7" t="s">
        <v>125</v>
      </c>
    </row>
  </sheetData>
  <sheetProtection selectLockedCells="1" selectUnlockedCells="1"/>
  <mergeCells count="438">
    <mergeCell ref="G65:H65"/>
    <mergeCell ref="I65:L65"/>
    <mergeCell ref="M65:P65"/>
    <mergeCell ref="Q65:U65"/>
    <mergeCell ref="G68:H68"/>
    <mergeCell ref="I68:L68"/>
    <mergeCell ref="M68:P68"/>
    <mergeCell ref="Q68:U68"/>
    <mergeCell ref="G66:H66"/>
    <mergeCell ref="I66:L66"/>
    <mergeCell ref="M66:P66"/>
    <mergeCell ref="Q66:U66"/>
    <mergeCell ref="G67:H67"/>
    <mergeCell ref="I67:L67"/>
    <mergeCell ref="G63:H63"/>
    <mergeCell ref="I63:L63"/>
    <mergeCell ref="M63:P63"/>
    <mergeCell ref="Q63:U63"/>
    <mergeCell ref="M67:P67"/>
    <mergeCell ref="Q67:U67"/>
    <mergeCell ref="G64:H64"/>
    <mergeCell ref="I64:L64"/>
    <mergeCell ref="M64:P64"/>
    <mergeCell ref="Q64:U64"/>
    <mergeCell ref="G61:H61"/>
    <mergeCell ref="I61:L61"/>
    <mergeCell ref="M61:P61"/>
    <mergeCell ref="Q61:U61"/>
    <mergeCell ref="G62:H62"/>
    <mergeCell ref="I62:L62"/>
    <mergeCell ref="M62:P62"/>
    <mergeCell ref="Q62:U62"/>
    <mergeCell ref="G59:H59"/>
    <mergeCell ref="I59:L59"/>
    <mergeCell ref="M59:P59"/>
    <mergeCell ref="Q59:U59"/>
    <mergeCell ref="G60:H60"/>
    <mergeCell ref="I60:L60"/>
    <mergeCell ref="M60:P60"/>
    <mergeCell ref="Q60:U60"/>
    <mergeCell ref="G57:H57"/>
    <mergeCell ref="I57:L57"/>
    <mergeCell ref="M57:P57"/>
    <mergeCell ref="Q57:U57"/>
    <mergeCell ref="G58:H58"/>
    <mergeCell ref="I58:L58"/>
    <mergeCell ref="M58:P58"/>
    <mergeCell ref="Q58:U58"/>
    <mergeCell ref="G55:H55"/>
    <mergeCell ref="I55:L55"/>
    <mergeCell ref="M55:P55"/>
    <mergeCell ref="Q55:U55"/>
    <mergeCell ref="G56:H56"/>
    <mergeCell ref="I56:L56"/>
    <mergeCell ref="M56:P56"/>
    <mergeCell ref="Q56:U56"/>
    <mergeCell ref="G53:H53"/>
    <mergeCell ref="I53:L53"/>
    <mergeCell ref="M53:P53"/>
    <mergeCell ref="Q53:U53"/>
    <mergeCell ref="G54:H54"/>
    <mergeCell ref="I54:L54"/>
    <mergeCell ref="M54:P54"/>
    <mergeCell ref="Q54:U54"/>
    <mergeCell ref="G51:H51"/>
    <mergeCell ref="I51:L51"/>
    <mergeCell ref="M51:P51"/>
    <mergeCell ref="Q51:U51"/>
    <mergeCell ref="G52:H52"/>
    <mergeCell ref="I52:L52"/>
    <mergeCell ref="M52:P52"/>
    <mergeCell ref="Q52:U52"/>
    <mergeCell ref="G49:H49"/>
    <mergeCell ref="I49:L49"/>
    <mergeCell ref="M49:P49"/>
    <mergeCell ref="Q49:U49"/>
    <mergeCell ref="G50:H50"/>
    <mergeCell ref="I50:L50"/>
    <mergeCell ref="M50:P50"/>
    <mergeCell ref="Q50:U50"/>
    <mergeCell ref="G47:H47"/>
    <mergeCell ref="I47:L47"/>
    <mergeCell ref="M47:P47"/>
    <mergeCell ref="Q47:U47"/>
    <mergeCell ref="G48:H48"/>
    <mergeCell ref="I48:L48"/>
    <mergeCell ref="M48:P48"/>
    <mergeCell ref="Q48:U48"/>
    <mergeCell ref="G45:H45"/>
    <mergeCell ref="I45:L45"/>
    <mergeCell ref="M45:P45"/>
    <mergeCell ref="Q45:U45"/>
    <mergeCell ref="G46:H46"/>
    <mergeCell ref="I46:L46"/>
    <mergeCell ref="M46:P46"/>
    <mergeCell ref="Q46:U46"/>
    <mergeCell ref="G43:H43"/>
    <mergeCell ref="I43:L43"/>
    <mergeCell ref="M43:P43"/>
    <mergeCell ref="Q43:U43"/>
    <mergeCell ref="G44:H44"/>
    <mergeCell ref="I44:L44"/>
    <mergeCell ref="M44:P44"/>
    <mergeCell ref="Q44:U44"/>
    <mergeCell ref="G41:H41"/>
    <mergeCell ref="I41:L41"/>
    <mergeCell ref="M41:P41"/>
    <mergeCell ref="Q41:U41"/>
    <mergeCell ref="G42:H42"/>
    <mergeCell ref="I42:L42"/>
    <mergeCell ref="M42:P42"/>
    <mergeCell ref="Q42:U42"/>
    <mergeCell ref="G39:H39"/>
    <mergeCell ref="I39:L39"/>
    <mergeCell ref="M39:P39"/>
    <mergeCell ref="Q39:U39"/>
    <mergeCell ref="G40:H40"/>
    <mergeCell ref="I40:L40"/>
    <mergeCell ref="M40:P40"/>
    <mergeCell ref="Q40:U40"/>
    <mergeCell ref="G37:H37"/>
    <mergeCell ref="I37:L37"/>
    <mergeCell ref="M37:P37"/>
    <mergeCell ref="Q37:U37"/>
    <mergeCell ref="G38:H38"/>
    <mergeCell ref="I38:L38"/>
    <mergeCell ref="M38:P38"/>
    <mergeCell ref="Q38:U38"/>
    <mergeCell ref="G35:H35"/>
    <mergeCell ref="I35:L35"/>
    <mergeCell ref="M35:P35"/>
    <mergeCell ref="Q35:U35"/>
    <mergeCell ref="G36:H36"/>
    <mergeCell ref="I36:L36"/>
    <mergeCell ref="M36:P36"/>
    <mergeCell ref="Q36:U36"/>
    <mergeCell ref="G33:H33"/>
    <mergeCell ref="I33:L33"/>
    <mergeCell ref="M33:P33"/>
    <mergeCell ref="Q33:U33"/>
    <mergeCell ref="G34:H34"/>
    <mergeCell ref="I34:L34"/>
    <mergeCell ref="M34:P34"/>
    <mergeCell ref="Q34:U34"/>
    <mergeCell ref="G31:H31"/>
    <mergeCell ref="I31:L31"/>
    <mergeCell ref="M31:P31"/>
    <mergeCell ref="Q31:U31"/>
    <mergeCell ref="G32:H32"/>
    <mergeCell ref="I32:L32"/>
    <mergeCell ref="M32:P32"/>
    <mergeCell ref="Q32:U32"/>
    <mergeCell ref="G29:H29"/>
    <mergeCell ref="I29:L29"/>
    <mergeCell ref="M29:P29"/>
    <mergeCell ref="Q29:U29"/>
    <mergeCell ref="G30:H30"/>
    <mergeCell ref="I30:L30"/>
    <mergeCell ref="M30:P30"/>
    <mergeCell ref="Q30:U30"/>
    <mergeCell ref="G27:H27"/>
    <mergeCell ref="I27:L27"/>
    <mergeCell ref="M27:P27"/>
    <mergeCell ref="Q27:U27"/>
    <mergeCell ref="G28:H28"/>
    <mergeCell ref="I28:L28"/>
    <mergeCell ref="M28:P28"/>
    <mergeCell ref="Q28:U28"/>
    <mergeCell ref="G25:H25"/>
    <mergeCell ref="I25:L25"/>
    <mergeCell ref="M25:P25"/>
    <mergeCell ref="Q25:U25"/>
    <mergeCell ref="G26:H26"/>
    <mergeCell ref="I26:L26"/>
    <mergeCell ref="M26:P26"/>
    <mergeCell ref="Q26:U26"/>
    <mergeCell ref="Q22:U22"/>
    <mergeCell ref="G23:H23"/>
    <mergeCell ref="I23:L23"/>
    <mergeCell ref="M23:P23"/>
    <mergeCell ref="Q23:U23"/>
    <mergeCell ref="G24:H24"/>
    <mergeCell ref="I24:L24"/>
    <mergeCell ref="M24:P24"/>
    <mergeCell ref="Q24:U24"/>
    <mergeCell ref="Q19:U19"/>
    <mergeCell ref="G20:H20"/>
    <mergeCell ref="I20:L20"/>
    <mergeCell ref="M20:P20"/>
    <mergeCell ref="Q20:U20"/>
    <mergeCell ref="G21:H21"/>
    <mergeCell ref="I21:L21"/>
    <mergeCell ref="M21:P21"/>
    <mergeCell ref="Q21:U21"/>
    <mergeCell ref="Q16:U16"/>
    <mergeCell ref="G17:H17"/>
    <mergeCell ref="I17:L17"/>
    <mergeCell ref="M17:P17"/>
    <mergeCell ref="Q17:U17"/>
    <mergeCell ref="G18:H18"/>
    <mergeCell ref="I18:L18"/>
    <mergeCell ref="M18:P18"/>
    <mergeCell ref="Q18:U18"/>
    <mergeCell ref="G16:H16"/>
    <mergeCell ref="I16:L16"/>
    <mergeCell ref="M16:P16"/>
    <mergeCell ref="G19:H19"/>
    <mergeCell ref="I19:L19"/>
    <mergeCell ref="M19:P19"/>
    <mergeCell ref="G22:H22"/>
    <mergeCell ref="I22:L22"/>
    <mergeCell ref="M22:P22"/>
    <mergeCell ref="E65:F65"/>
    <mergeCell ref="E66:F66"/>
    <mergeCell ref="E67:F67"/>
    <mergeCell ref="E68:F68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6:F16"/>
    <mergeCell ref="E17:F17"/>
    <mergeCell ref="E18:F18"/>
    <mergeCell ref="E19:F19"/>
    <mergeCell ref="E20:F20"/>
    <mergeCell ref="E21:F21"/>
    <mergeCell ref="E22:F22"/>
    <mergeCell ref="C65:D65"/>
    <mergeCell ref="C66:D66"/>
    <mergeCell ref="C67:D67"/>
    <mergeCell ref="C68:D68"/>
    <mergeCell ref="C59:D59"/>
    <mergeCell ref="C60:D60"/>
    <mergeCell ref="C61:D61"/>
    <mergeCell ref="C62:D62"/>
    <mergeCell ref="C63:D63"/>
    <mergeCell ref="C51:D51"/>
    <mergeCell ref="C52:D52"/>
    <mergeCell ref="C64:D64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X78:Y78"/>
    <mergeCell ref="C77:D77"/>
    <mergeCell ref="E77:I77"/>
    <mergeCell ref="C78:D78"/>
    <mergeCell ref="E78:I78"/>
    <mergeCell ref="J78:K78"/>
    <mergeCell ref="L78:O78"/>
    <mergeCell ref="P78:R78"/>
    <mergeCell ref="S78:W78"/>
    <mergeCell ref="C76:D76"/>
    <mergeCell ref="E76:I76"/>
    <mergeCell ref="J76:K76"/>
    <mergeCell ref="L76:O76"/>
    <mergeCell ref="P76:R76"/>
    <mergeCell ref="X77:Y77"/>
    <mergeCell ref="S75:W75"/>
    <mergeCell ref="J77:K77"/>
    <mergeCell ref="L77:O77"/>
    <mergeCell ref="P77:R77"/>
    <mergeCell ref="S77:W77"/>
    <mergeCell ref="X75:Y75"/>
    <mergeCell ref="X74:Y74"/>
    <mergeCell ref="C73:D73"/>
    <mergeCell ref="E73:I73"/>
    <mergeCell ref="S76:W76"/>
    <mergeCell ref="X76:Y76"/>
    <mergeCell ref="C75:D75"/>
    <mergeCell ref="E75:I75"/>
    <mergeCell ref="J75:K75"/>
    <mergeCell ref="L75:O75"/>
    <mergeCell ref="P75:R75"/>
    <mergeCell ref="Y71:Z71"/>
    <mergeCell ref="X72:Y72"/>
    <mergeCell ref="X73:Y73"/>
    <mergeCell ref="Q71:U71"/>
    <mergeCell ref="C74:D74"/>
    <mergeCell ref="E74:I74"/>
    <mergeCell ref="J74:K74"/>
    <mergeCell ref="L74:O74"/>
    <mergeCell ref="P74:R74"/>
    <mergeCell ref="S74:W74"/>
    <mergeCell ref="S72:W72"/>
    <mergeCell ref="J73:K73"/>
    <mergeCell ref="L73:O73"/>
    <mergeCell ref="P73:R73"/>
    <mergeCell ref="S73:W73"/>
    <mergeCell ref="W71:X71"/>
    <mergeCell ref="I70:L70"/>
    <mergeCell ref="C72:D72"/>
    <mergeCell ref="E72:I72"/>
    <mergeCell ref="J72:K72"/>
    <mergeCell ref="L72:O72"/>
    <mergeCell ref="P72:R72"/>
    <mergeCell ref="C20:D20"/>
    <mergeCell ref="C71:D71"/>
    <mergeCell ref="E71:F71"/>
    <mergeCell ref="G71:H71"/>
    <mergeCell ref="I71:L71"/>
    <mergeCell ref="M71:P71"/>
    <mergeCell ref="C70:D70"/>
    <mergeCell ref="E70:F70"/>
    <mergeCell ref="G70:H70"/>
    <mergeCell ref="M70:O70"/>
    <mergeCell ref="C15:D15"/>
    <mergeCell ref="Q70:U70"/>
    <mergeCell ref="E15:F15"/>
    <mergeCell ref="G15:H15"/>
    <mergeCell ref="I15:L15"/>
    <mergeCell ref="M15:P15"/>
    <mergeCell ref="C16:D16"/>
    <mergeCell ref="C17:D17"/>
    <mergeCell ref="C18:D18"/>
    <mergeCell ref="C19:D19"/>
    <mergeCell ref="C14:D14"/>
    <mergeCell ref="E14:F14"/>
    <mergeCell ref="G14:H14"/>
    <mergeCell ref="I14:L14"/>
    <mergeCell ref="M14:P14"/>
    <mergeCell ref="Q14:U14"/>
    <mergeCell ref="E12:F13"/>
    <mergeCell ref="G12:H13"/>
    <mergeCell ref="I12:L13"/>
    <mergeCell ref="M12:P13"/>
    <mergeCell ref="H11:AA11"/>
    <mergeCell ref="Y12:Y13"/>
    <mergeCell ref="Z12:Z13"/>
    <mergeCell ref="AA12:AA13"/>
    <mergeCell ref="Q12:U13"/>
    <mergeCell ref="V12:V13"/>
    <mergeCell ref="AF5:AJ5"/>
    <mergeCell ref="D6:Z6"/>
    <mergeCell ref="D7:G7"/>
    <mergeCell ref="H7:AA7"/>
    <mergeCell ref="N8:Q8"/>
    <mergeCell ref="R8:S8"/>
    <mergeCell ref="U8:Z8"/>
    <mergeCell ref="D8:E8"/>
    <mergeCell ref="F8:G8"/>
    <mergeCell ref="H8:M8"/>
    <mergeCell ref="Q15:U15"/>
    <mergeCell ref="AH10:AI10"/>
    <mergeCell ref="AB10:AC10"/>
    <mergeCell ref="AG9:AH9"/>
    <mergeCell ref="AI9:AJ9"/>
    <mergeCell ref="D9:G9"/>
    <mergeCell ref="D10:E10"/>
    <mergeCell ref="F10:G10"/>
    <mergeCell ref="H10:J10"/>
    <mergeCell ref="M10:N10"/>
    <mergeCell ref="E69:F69"/>
    <mergeCell ref="C69:D69"/>
    <mergeCell ref="G69:H69"/>
    <mergeCell ref="I69:L69"/>
    <mergeCell ref="M69:P69"/>
    <mergeCell ref="Q69:U69"/>
    <mergeCell ref="D1:AD1"/>
    <mergeCell ref="C2:AD4"/>
    <mergeCell ref="C5:AD5"/>
    <mergeCell ref="AB12:AB13"/>
    <mergeCell ref="AC12:AC13"/>
    <mergeCell ref="AD12:AD13"/>
    <mergeCell ref="O10:Z10"/>
    <mergeCell ref="H9:AA9"/>
    <mergeCell ref="D11:G11"/>
    <mergeCell ref="C12:D13"/>
  </mergeCells>
  <printOptions/>
  <pageMargins left="0.17" right="0.17" top="0.34" bottom="0.3937007874015748" header="0.5905511811023623" footer="0.1968503937007874"/>
  <pageSetup fitToHeight="2" fitToWidth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W82"/>
  <sheetViews>
    <sheetView zoomScale="80" zoomScaleNormal="80" zoomScalePageLayoutView="0" workbookViewId="0" topLeftCell="P19">
      <pane xSplit="3" ySplit="6" topLeftCell="U25" activePane="bottomRight" state="frozen"/>
      <selection pane="topLeft" activeCell="P19" sqref="P19"/>
      <selection pane="topRight" activeCell="S19" sqref="S19"/>
      <selection pane="bottomLeft" activeCell="P25" sqref="P25"/>
      <selection pane="bottomRight" activeCell="AD25" sqref="AD25"/>
    </sheetView>
  </sheetViews>
  <sheetFormatPr defaultColWidth="9.140625" defaultRowHeight="12.75"/>
  <cols>
    <col min="1" max="15" width="0" style="1" hidden="1" customWidth="1"/>
    <col min="16" max="16" width="9.140625" style="1" customWidth="1"/>
    <col min="17" max="17" width="33.28125" style="55" customWidth="1"/>
    <col min="18" max="18" width="28.00390625" style="1" hidden="1" customWidth="1"/>
    <col min="19" max="19" width="18.140625" style="3" customWidth="1"/>
    <col min="20" max="20" width="28.57421875" style="24" customWidth="1"/>
    <col min="21" max="21" width="24.57421875" style="14" customWidth="1"/>
    <col min="22" max="22" width="27.00390625" style="4" customWidth="1"/>
    <col min="23" max="23" width="25.421875" style="4" customWidth="1"/>
    <col min="24" max="24" width="23.140625" style="79" customWidth="1"/>
    <col min="25" max="25" width="23.00390625" style="3" customWidth="1"/>
    <col min="26" max="26" width="22.7109375" style="1" customWidth="1"/>
    <col min="27" max="27" width="24.8515625" style="3" customWidth="1"/>
    <col min="28" max="28" width="21.00390625" style="1" customWidth="1"/>
    <col min="29" max="29" width="28.7109375" style="3" customWidth="1"/>
    <col min="30" max="30" width="19.57421875" style="1" customWidth="1"/>
    <col min="31" max="31" width="20.57421875" style="89" customWidth="1"/>
    <col min="32" max="32" width="22.8515625" style="3" customWidth="1"/>
    <col min="33" max="16384" width="9.140625" style="1" customWidth="1"/>
  </cols>
  <sheetData>
    <row r="1" ht="15">
      <c r="P1" s="2"/>
    </row>
    <row r="2" spans="2:28" ht="15" customHeigh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3" spans="2:28" ht="1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72"/>
      <c r="V3" s="22"/>
      <c r="W3" s="22"/>
      <c r="X3" s="80"/>
      <c r="Y3" s="22"/>
      <c r="Z3" s="22"/>
      <c r="AA3" s="22"/>
      <c r="AB3" s="22"/>
    </row>
    <row r="4" ht="17.25" customHeight="1">
      <c r="AA4" s="5"/>
    </row>
    <row r="6" spans="21:24" ht="15">
      <c r="U6" s="14" t="s">
        <v>99</v>
      </c>
      <c r="V6" s="6"/>
      <c r="W6" s="6"/>
      <c r="X6" s="81"/>
    </row>
    <row r="7" spans="16:37" ht="18" customHeight="1">
      <c r="P7" s="154" t="s">
        <v>122</v>
      </c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48"/>
      <c r="AH7" s="48"/>
      <c r="AI7" s="48"/>
      <c r="AJ7" s="48"/>
      <c r="AK7" s="46"/>
    </row>
    <row r="8" spans="16:37" ht="18" customHeight="1">
      <c r="P8" s="154" t="s">
        <v>119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48"/>
      <c r="AH8" s="48"/>
      <c r="AI8" s="48"/>
      <c r="AJ8" s="48"/>
      <c r="AK8" s="46"/>
    </row>
    <row r="9" spans="16:37" ht="57" customHeight="1">
      <c r="P9" s="154" t="s">
        <v>123</v>
      </c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48"/>
      <c r="AH9" s="48"/>
      <c r="AI9" s="48"/>
      <c r="AJ9" s="48"/>
      <c r="AK9" s="49"/>
    </row>
    <row r="10" spans="16:37" ht="18" customHeight="1">
      <c r="P10" s="154" t="s">
        <v>124</v>
      </c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50"/>
      <c r="AH10" s="50"/>
      <c r="AI10" s="50"/>
      <c r="AJ10" s="50"/>
      <c r="AK10" s="46"/>
    </row>
    <row r="11" spans="16:37" ht="26.25" customHeight="1"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46"/>
    </row>
    <row r="12" spans="16:37" ht="26.25" customHeight="1">
      <c r="P12" s="157" t="s">
        <v>0</v>
      </c>
      <c r="Q12" s="157"/>
      <c r="R12" s="157"/>
      <c r="S12" s="157"/>
      <c r="T12" s="160" t="s">
        <v>27</v>
      </c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</row>
    <row r="13" spans="16:37" ht="26.25" customHeight="1">
      <c r="P13" s="158"/>
      <c r="Q13" s="158"/>
      <c r="R13" s="158"/>
      <c r="S13" s="158"/>
      <c r="T13" s="130"/>
      <c r="U13" s="130"/>
      <c r="V13" s="130"/>
      <c r="W13" s="130"/>
      <c r="X13" s="130"/>
      <c r="Y13" s="130"/>
      <c r="Z13" s="159"/>
      <c r="AA13" s="159"/>
      <c r="AB13" s="159"/>
      <c r="AC13" s="159"/>
      <c r="AD13" s="130"/>
      <c r="AE13" s="130"/>
      <c r="AF13" s="130"/>
      <c r="AG13" s="130"/>
      <c r="AH13" s="130"/>
      <c r="AI13" s="130"/>
      <c r="AJ13" s="130"/>
      <c r="AK13" s="47"/>
    </row>
    <row r="14" spans="16:37" ht="26.25" customHeight="1">
      <c r="P14" s="157" t="s">
        <v>1</v>
      </c>
      <c r="Q14" s="157"/>
      <c r="R14" s="157"/>
      <c r="S14" s="157"/>
      <c r="T14" s="160" t="s">
        <v>108</v>
      </c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</row>
    <row r="15" spans="16:37" ht="8.25" customHeight="1">
      <c r="P15" s="155"/>
      <c r="Q15" s="155"/>
      <c r="R15" s="155"/>
      <c r="S15" s="155"/>
      <c r="T15" s="155"/>
      <c r="U15" s="155"/>
      <c r="V15" s="155"/>
      <c r="W15" s="51"/>
      <c r="X15" s="82"/>
      <c r="Y15" s="155"/>
      <c r="Z15" s="155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51"/>
    </row>
    <row r="16" spans="16:37" ht="18" customHeight="1">
      <c r="P16" s="172" t="s">
        <v>2</v>
      </c>
      <c r="Q16" s="172"/>
      <c r="R16" s="172"/>
      <c r="S16" s="172"/>
      <c r="T16" s="157" t="s">
        <v>121</v>
      </c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52"/>
      <c r="AH16" s="52"/>
      <c r="AI16" s="52"/>
      <c r="AJ16" s="52"/>
      <c r="AK16" s="53"/>
    </row>
    <row r="17" spans="20:37" ht="19.5" customHeight="1"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54"/>
      <c r="AH17" s="54"/>
      <c r="AI17" s="54"/>
      <c r="AJ17" s="54"/>
      <c r="AK17" s="54"/>
    </row>
    <row r="18" spans="20:37" ht="21" customHeight="1"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54"/>
      <c r="AH18" s="54"/>
      <c r="AI18" s="54"/>
      <c r="AJ18" s="54"/>
      <c r="AK18" s="54"/>
    </row>
    <row r="19" spans="22:24" ht="15">
      <c r="V19" s="6"/>
      <c r="W19" s="6"/>
      <c r="X19" s="81"/>
    </row>
    <row r="20" spans="2:32" ht="41.25" customHeight="1">
      <c r="B20" s="179" t="s">
        <v>9</v>
      </c>
      <c r="C20" s="179" t="s">
        <v>10</v>
      </c>
      <c r="D20" s="179" t="s">
        <v>11</v>
      </c>
      <c r="E20" s="179" t="s">
        <v>12</v>
      </c>
      <c r="F20" s="192" t="s">
        <v>13</v>
      </c>
      <c r="G20" s="193"/>
      <c r="H20" s="193"/>
      <c r="I20" s="193"/>
      <c r="J20" s="193"/>
      <c r="K20" s="193"/>
      <c r="L20" s="193"/>
      <c r="M20" s="193"/>
      <c r="N20" s="193"/>
      <c r="O20" s="194"/>
      <c r="P20" s="184" t="s">
        <v>3</v>
      </c>
      <c r="Q20" s="181" t="s">
        <v>114</v>
      </c>
      <c r="R20" s="179" t="s">
        <v>92</v>
      </c>
      <c r="S20" s="179" t="s">
        <v>113</v>
      </c>
      <c r="T20" s="163" t="s">
        <v>38</v>
      </c>
      <c r="U20" s="166" t="s">
        <v>112</v>
      </c>
      <c r="V20" s="169" t="s">
        <v>118</v>
      </c>
      <c r="W20" s="163" t="s">
        <v>115</v>
      </c>
      <c r="X20" s="187" t="s">
        <v>117</v>
      </c>
      <c r="Y20" s="163" t="s">
        <v>103</v>
      </c>
      <c r="Z20" s="163" t="s">
        <v>96</v>
      </c>
      <c r="AA20" s="163" t="s">
        <v>37</v>
      </c>
      <c r="AB20" s="163" t="s">
        <v>94</v>
      </c>
      <c r="AC20" s="163" t="s">
        <v>35</v>
      </c>
      <c r="AD20" s="173" t="s">
        <v>102</v>
      </c>
      <c r="AE20" s="176" t="s">
        <v>111</v>
      </c>
      <c r="AF20" s="161" t="s">
        <v>116</v>
      </c>
    </row>
    <row r="21" spans="2:32" ht="15" customHeight="1">
      <c r="B21" s="191"/>
      <c r="C21" s="191"/>
      <c r="D21" s="191"/>
      <c r="E21" s="191"/>
      <c r="F21" s="179" t="s">
        <v>14</v>
      </c>
      <c r="G21" s="179" t="s">
        <v>15</v>
      </c>
      <c r="H21" s="179" t="s">
        <v>16</v>
      </c>
      <c r="I21" s="179" t="s">
        <v>17</v>
      </c>
      <c r="J21" s="179" t="s">
        <v>18</v>
      </c>
      <c r="K21" s="179" t="s">
        <v>19</v>
      </c>
      <c r="L21" s="179" t="s">
        <v>20</v>
      </c>
      <c r="M21" s="179" t="s">
        <v>21</v>
      </c>
      <c r="N21" s="179" t="s">
        <v>22</v>
      </c>
      <c r="O21" s="179" t="s">
        <v>23</v>
      </c>
      <c r="P21" s="185"/>
      <c r="Q21" s="182"/>
      <c r="R21" s="191"/>
      <c r="S21" s="191"/>
      <c r="T21" s="164"/>
      <c r="U21" s="167"/>
      <c r="V21" s="170"/>
      <c r="W21" s="164"/>
      <c r="X21" s="188"/>
      <c r="Y21" s="164"/>
      <c r="Z21" s="164"/>
      <c r="AA21" s="164"/>
      <c r="AB21" s="164"/>
      <c r="AC21" s="164"/>
      <c r="AD21" s="174"/>
      <c r="AE21" s="177"/>
      <c r="AF21" s="161"/>
    </row>
    <row r="22" spans="2:32" ht="144" customHeight="1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6"/>
      <c r="Q22" s="183"/>
      <c r="R22" s="180"/>
      <c r="S22" s="180"/>
      <c r="T22" s="165"/>
      <c r="U22" s="168"/>
      <c r="V22" s="171"/>
      <c r="W22" s="165"/>
      <c r="X22" s="189"/>
      <c r="Y22" s="165"/>
      <c r="Z22" s="165"/>
      <c r="AA22" s="165"/>
      <c r="AB22" s="165"/>
      <c r="AC22" s="165"/>
      <c r="AD22" s="175"/>
      <c r="AE22" s="178"/>
      <c r="AF22" s="161"/>
    </row>
    <row r="23" spans="2:49" ht="15"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</v>
      </c>
      <c r="Q23" s="23">
        <v>2</v>
      </c>
      <c r="R23" s="9">
        <v>17</v>
      </c>
      <c r="S23" s="8">
        <v>3</v>
      </c>
      <c r="T23" s="26">
        <v>4</v>
      </c>
      <c r="U23" s="29">
        <v>20</v>
      </c>
      <c r="V23" s="26">
        <v>5</v>
      </c>
      <c r="W23" s="26">
        <v>6</v>
      </c>
      <c r="X23" s="83">
        <v>7</v>
      </c>
      <c r="Y23" s="27">
        <v>21</v>
      </c>
      <c r="Z23" s="27">
        <v>22</v>
      </c>
      <c r="AA23" s="27">
        <v>8</v>
      </c>
      <c r="AB23" s="27">
        <v>22</v>
      </c>
      <c r="AC23" s="27">
        <v>25</v>
      </c>
      <c r="AD23" s="28">
        <v>25</v>
      </c>
      <c r="AE23" s="90"/>
      <c r="AF23" s="44">
        <v>9</v>
      </c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2:31" ht="75" customHeight="1" hidden="1">
      <c r="B24" s="8" t="s">
        <v>24</v>
      </c>
      <c r="C24" s="8" t="s">
        <v>25</v>
      </c>
      <c r="D24" s="8" t="s">
        <v>25</v>
      </c>
      <c r="E24" s="8" t="s">
        <v>25</v>
      </c>
      <c r="F24" s="8" t="s">
        <v>25</v>
      </c>
      <c r="G24" s="8" t="s">
        <v>25</v>
      </c>
      <c r="H24" s="8" t="s">
        <v>25</v>
      </c>
      <c r="I24" s="8" t="s">
        <v>25</v>
      </c>
      <c r="J24" s="8" t="s">
        <v>25</v>
      </c>
      <c r="K24" s="8" t="s">
        <v>25</v>
      </c>
      <c r="L24" s="8" t="s">
        <v>25</v>
      </c>
      <c r="M24" s="8" t="s">
        <v>25</v>
      </c>
      <c r="N24" s="8" t="s">
        <v>25</v>
      </c>
      <c r="O24" s="8" t="s">
        <v>25</v>
      </c>
      <c r="P24" s="8" t="s">
        <v>25</v>
      </c>
      <c r="Q24" s="23" t="s">
        <v>25</v>
      </c>
      <c r="R24" s="11" t="s">
        <v>26</v>
      </c>
      <c r="S24" s="12" t="s">
        <v>26</v>
      </c>
      <c r="T24" s="29" t="s">
        <v>93</v>
      </c>
      <c r="U24" s="73" t="s">
        <v>26</v>
      </c>
      <c r="V24" s="30" t="s">
        <v>93</v>
      </c>
      <c r="W24" s="31" t="s">
        <v>101</v>
      </c>
      <c r="X24" s="84" t="s">
        <v>93</v>
      </c>
      <c r="Y24" s="29" t="s">
        <v>93</v>
      </c>
      <c r="Z24" s="32" t="s">
        <v>110</v>
      </c>
      <c r="AA24" s="33" t="s">
        <v>26</v>
      </c>
      <c r="AB24" s="32" t="s">
        <v>93</v>
      </c>
      <c r="AC24" s="32" t="s">
        <v>109</v>
      </c>
      <c r="AD24" s="32" t="s">
        <v>93</v>
      </c>
      <c r="AE24" s="90"/>
    </row>
    <row r="25" spans="2:32" ht="27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3">
        <v>1</v>
      </c>
      <c r="Q25" s="56" t="s">
        <v>41</v>
      </c>
      <c r="R25" s="13">
        <v>3209415.3</v>
      </c>
      <c r="S25" s="7">
        <v>49</v>
      </c>
      <c r="T25" s="34">
        <f aca="true" t="shared" si="0" ref="T25:T56">S25/100*(AA25/(1-S25/100))</f>
        <v>1683678.43</v>
      </c>
      <c r="U25" s="88">
        <v>0.261555503630431</v>
      </c>
      <c r="V25" s="35">
        <f aca="true" t="shared" si="1" ref="V25:V79">$T$82*(T25/$T$80)</f>
        <v>1675859.91</v>
      </c>
      <c r="W25" s="35">
        <f>2023077.81-V25</f>
        <v>347217.9</v>
      </c>
      <c r="X25" s="85">
        <f>V25+W25</f>
        <v>2023077.81</v>
      </c>
      <c r="Y25" s="35">
        <f>X25*U25</f>
        <v>529147.14</v>
      </c>
      <c r="Z25" s="36">
        <f>ROUNDUP((Y25),-2)</f>
        <v>529200</v>
      </c>
      <c r="AA25" s="37">
        <v>1752400</v>
      </c>
      <c r="AB25" s="35">
        <f>X25-Y25</f>
        <v>1493930.67</v>
      </c>
      <c r="AC25" s="36">
        <f aca="true" t="shared" si="2" ref="AC25:AC79">ROUNDUP((AB25),-2)</f>
        <v>1494000</v>
      </c>
      <c r="AD25" s="38">
        <f aca="true" t="shared" si="3" ref="AD25:AD79">Z25+AC25</f>
        <v>2023200</v>
      </c>
      <c r="AE25" s="90">
        <v>3</v>
      </c>
      <c r="AF25" s="45">
        <f>AD25/1000</f>
        <v>2023.2</v>
      </c>
    </row>
    <row r="26" spans="2:32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3">
        <v>2</v>
      </c>
      <c r="Q26" s="56" t="s">
        <v>42</v>
      </c>
      <c r="R26" s="13">
        <v>3723203.4</v>
      </c>
      <c r="S26" s="7">
        <v>59</v>
      </c>
      <c r="T26" s="34">
        <f t="shared" si="0"/>
        <v>1431253.66</v>
      </c>
      <c r="U26" s="88">
        <v>0.261555503630431</v>
      </c>
      <c r="V26" s="35">
        <f t="shared" si="1"/>
        <v>1424607.32</v>
      </c>
      <c r="W26" s="35">
        <f>1565968.39-V26</f>
        <v>141361.07</v>
      </c>
      <c r="X26" s="85">
        <f aca="true" t="shared" si="4" ref="X26:X79">V26+W26</f>
        <v>1565968.39</v>
      </c>
      <c r="Y26" s="35">
        <f aca="true" t="shared" si="5" ref="Y26:Y79">X26*U26</f>
        <v>409587.65</v>
      </c>
      <c r="Z26" s="36">
        <f aca="true" t="shared" si="6" ref="Z26:Z79">ROUNDUP((Y26),-2)</f>
        <v>409600</v>
      </c>
      <c r="AA26" s="37">
        <v>994600</v>
      </c>
      <c r="AB26" s="35">
        <f aca="true" t="shared" si="7" ref="AB26:AB79">X26-Y26</f>
        <v>1156380.74</v>
      </c>
      <c r="AC26" s="36">
        <f t="shared" si="2"/>
        <v>1156400</v>
      </c>
      <c r="AD26" s="38">
        <f t="shared" si="3"/>
        <v>1566000</v>
      </c>
      <c r="AE26" s="90">
        <v>2</v>
      </c>
      <c r="AF26" s="45">
        <f aca="true" t="shared" si="8" ref="AF26:AF79">AD26/1000</f>
        <v>1566</v>
      </c>
    </row>
    <row r="27" spans="2:32" ht="30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3">
        <f>45334.5/(47000+80992+45334.5)</f>
        <v>0.261555503630432</v>
      </c>
      <c r="Q27" s="56" t="s">
        <v>43</v>
      </c>
      <c r="R27" s="13">
        <v>5574605.4</v>
      </c>
      <c r="S27" s="7">
        <v>60</v>
      </c>
      <c r="T27" s="34">
        <f t="shared" si="0"/>
        <v>3344850</v>
      </c>
      <c r="U27" s="88">
        <v>0.261555503630431</v>
      </c>
      <c r="V27" s="35">
        <f t="shared" si="1"/>
        <v>3329317.47</v>
      </c>
      <c r="W27" s="35">
        <f>3733717.68-V27</f>
        <v>404400.21</v>
      </c>
      <c r="X27" s="85">
        <f t="shared" si="4"/>
        <v>3733717.68</v>
      </c>
      <c r="Y27" s="35">
        <f t="shared" si="5"/>
        <v>976574.41</v>
      </c>
      <c r="Z27" s="36">
        <f t="shared" si="6"/>
        <v>976600</v>
      </c>
      <c r="AA27" s="37">
        <v>2229900</v>
      </c>
      <c r="AB27" s="35">
        <f t="shared" si="7"/>
        <v>2757143.27</v>
      </c>
      <c r="AC27" s="36">
        <f t="shared" si="2"/>
        <v>2757200</v>
      </c>
      <c r="AD27" s="38">
        <f t="shared" si="3"/>
        <v>3733800</v>
      </c>
      <c r="AE27" s="90">
        <v>6</v>
      </c>
      <c r="AF27" s="45">
        <f t="shared" si="8"/>
        <v>3733.8</v>
      </c>
    </row>
    <row r="28" spans="2:32" ht="30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3">
        <v>4</v>
      </c>
      <c r="Q28" s="56" t="s">
        <v>44</v>
      </c>
      <c r="R28" s="13">
        <v>1715263.2</v>
      </c>
      <c r="S28" s="7">
        <v>60</v>
      </c>
      <c r="T28" s="34">
        <f t="shared" si="0"/>
        <v>1094941.5</v>
      </c>
      <c r="U28" s="88">
        <v>0.261555503630431</v>
      </c>
      <c r="V28" s="35">
        <f t="shared" si="1"/>
        <v>1089856.9</v>
      </c>
      <c r="W28" s="35">
        <f>1251361.44-V28</f>
        <v>161504.54</v>
      </c>
      <c r="X28" s="85">
        <f t="shared" si="4"/>
        <v>1251361.44</v>
      </c>
      <c r="Y28" s="35">
        <f t="shared" si="5"/>
        <v>327300.47</v>
      </c>
      <c r="Z28" s="36">
        <f t="shared" si="6"/>
        <v>327400</v>
      </c>
      <c r="AA28" s="37">
        <v>729961</v>
      </c>
      <c r="AB28" s="35">
        <f t="shared" si="7"/>
        <v>924060.97</v>
      </c>
      <c r="AC28" s="36">
        <f t="shared" si="2"/>
        <v>924100</v>
      </c>
      <c r="AD28" s="38">
        <f t="shared" si="3"/>
        <v>1251500</v>
      </c>
      <c r="AE28" s="90">
        <v>2</v>
      </c>
      <c r="AF28" s="45">
        <f t="shared" si="8"/>
        <v>1251.5</v>
      </c>
    </row>
    <row r="29" spans="2:32" ht="30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3">
        <v>5</v>
      </c>
      <c r="Q29" s="56" t="s">
        <v>45</v>
      </c>
      <c r="R29" s="13">
        <v>3087000</v>
      </c>
      <c r="S29" s="7">
        <v>60</v>
      </c>
      <c r="T29" s="34">
        <f t="shared" si="0"/>
        <v>2550000</v>
      </c>
      <c r="U29" s="88">
        <v>0.261555503630431</v>
      </c>
      <c r="V29" s="35">
        <f t="shared" si="1"/>
        <v>2538158.52</v>
      </c>
      <c r="W29" s="35">
        <f>2513700-V29</f>
        <v>-24458.52</v>
      </c>
      <c r="X29" s="85">
        <f t="shared" si="4"/>
        <v>2513700</v>
      </c>
      <c r="Y29" s="35">
        <f t="shared" si="5"/>
        <v>657472.07</v>
      </c>
      <c r="Z29" s="36">
        <f t="shared" si="6"/>
        <v>657500</v>
      </c>
      <c r="AA29" s="37">
        <v>1700000</v>
      </c>
      <c r="AB29" s="35">
        <f t="shared" si="7"/>
        <v>1856227.93</v>
      </c>
      <c r="AC29" s="36">
        <f t="shared" si="2"/>
        <v>1856300</v>
      </c>
      <c r="AD29" s="38">
        <f t="shared" si="3"/>
        <v>2513800</v>
      </c>
      <c r="AE29" s="90">
        <v>5</v>
      </c>
      <c r="AF29" s="45">
        <f t="shared" si="8"/>
        <v>2513.8</v>
      </c>
    </row>
    <row r="30" spans="2:32" ht="30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3">
        <v>6</v>
      </c>
      <c r="Q30" s="56" t="s">
        <v>104</v>
      </c>
      <c r="R30" s="13"/>
      <c r="S30" s="7">
        <v>44</v>
      </c>
      <c r="T30" s="34">
        <f t="shared" si="0"/>
        <v>144144</v>
      </c>
      <c r="U30" s="88">
        <v>0.261555503630431</v>
      </c>
      <c r="V30" s="35">
        <f t="shared" si="1"/>
        <v>143474.64</v>
      </c>
      <c r="W30" s="35">
        <f>144144-V30</f>
        <v>669.36</v>
      </c>
      <c r="X30" s="85">
        <f t="shared" si="4"/>
        <v>144144</v>
      </c>
      <c r="Y30" s="35">
        <f t="shared" si="5"/>
        <v>37701.66</v>
      </c>
      <c r="Z30" s="36">
        <f t="shared" si="6"/>
        <v>37800</v>
      </c>
      <c r="AA30" s="37">
        <v>183456</v>
      </c>
      <c r="AB30" s="35">
        <f t="shared" si="7"/>
        <v>106442.34</v>
      </c>
      <c r="AC30" s="36">
        <f t="shared" si="2"/>
        <v>106500</v>
      </c>
      <c r="AD30" s="38">
        <f t="shared" si="3"/>
        <v>144300</v>
      </c>
      <c r="AE30" s="90">
        <v>1</v>
      </c>
      <c r="AF30" s="45">
        <f t="shared" si="8"/>
        <v>144.3</v>
      </c>
    </row>
    <row r="31" spans="2:32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43">
        <v>7</v>
      </c>
      <c r="Q31" s="56" t="s">
        <v>46</v>
      </c>
      <c r="R31" s="13">
        <v>5528677.1</v>
      </c>
      <c r="S31" s="7">
        <v>57</v>
      </c>
      <c r="T31" s="34">
        <f t="shared" si="0"/>
        <v>3160186.05</v>
      </c>
      <c r="U31" s="88">
        <v>0.261555503630431</v>
      </c>
      <c r="V31" s="35">
        <f t="shared" si="1"/>
        <v>3145511.04</v>
      </c>
      <c r="W31" s="35">
        <f>3530064.32-V31</f>
        <v>384553.28</v>
      </c>
      <c r="X31" s="85">
        <f t="shared" si="4"/>
        <v>3530064.32</v>
      </c>
      <c r="Y31" s="35">
        <f t="shared" si="5"/>
        <v>923307.75</v>
      </c>
      <c r="Z31" s="36">
        <f t="shared" si="6"/>
        <v>923400</v>
      </c>
      <c r="AA31" s="37">
        <v>2384000</v>
      </c>
      <c r="AB31" s="35">
        <f t="shared" si="7"/>
        <v>2606756.57</v>
      </c>
      <c r="AC31" s="36">
        <f t="shared" si="2"/>
        <v>2606800</v>
      </c>
      <c r="AD31" s="38">
        <f t="shared" si="3"/>
        <v>3530200</v>
      </c>
      <c r="AE31" s="90">
        <v>5</v>
      </c>
      <c r="AF31" s="45">
        <f t="shared" si="8"/>
        <v>3530.2</v>
      </c>
    </row>
    <row r="32" spans="2:32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3">
        <v>8</v>
      </c>
      <c r="Q32" s="56" t="s">
        <v>105</v>
      </c>
      <c r="R32" s="13"/>
      <c r="S32" s="7">
        <v>58</v>
      </c>
      <c r="T32" s="34">
        <f t="shared" si="0"/>
        <v>2900000</v>
      </c>
      <c r="U32" s="88">
        <v>0.261555503630431</v>
      </c>
      <c r="V32" s="35">
        <f t="shared" si="1"/>
        <v>2886533.22</v>
      </c>
      <c r="W32" s="35">
        <f>665028-V32</f>
        <v>-2221505.22</v>
      </c>
      <c r="X32" s="85">
        <f t="shared" si="4"/>
        <v>665028</v>
      </c>
      <c r="Y32" s="35">
        <f t="shared" si="5"/>
        <v>173941.73</v>
      </c>
      <c r="Z32" s="36">
        <f t="shared" si="6"/>
        <v>174000</v>
      </c>
      <c r="AA32" s="37">
        <v>2100000</v>
      </c>
      <c r="AB32" s="35">
        <f t="shared" si="7"/>
        <v>491086.27</v>
      </c>
      <c r="AC32" s="36">
        <f t="shared" si="2"/>
        <v>491100</v>
      </c>
      <c r="AD32" s="38">
        <f t="shared" si="3"/>
        <v>665100</v>
      </c>
      <c r="AE32" s="90">
        <v>2</v>
      </c>
      <c r="AF32" s="45">
        <f t="shared" si="8"/>
        <v>665.1</v>
      </c>
    </row>
    <row r="33" spans="2:32" ht="46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3">
        <v>9</v>
      </c>
      <c r="Q33" s="56" t="s">
        <v>47</v>
      </c>
      <c r="R33" s="13">
        <v>14157150</v>
      </c>
      <c r="S33" s="7">
        <v>60</v>
      </c>
      <c r="T33" s="34">
        <f t="shared" si="0"/>
        <v>5400000</v>
      </c>
      <c r="U33" s="88">
        <v>0.261555503630431</v>
      </c>
      <c r="V33" s="35">
        <f t="shared" si="1"/>
        <v>5374923.93</v>
      </c>
      <c r="W33" s="35">
        <f>5412960-V33</f>
        <v>38036.07</v>
      </c>
      <c r="X33" s="85">
        <f t="shared" si="4"/>
        <v>5412960</v>
      </c>
      <c r="Y33" s="35">
        <f t="shared" si="5"/>
        <v>1415789.48</v>
      </c>
      <c r="Z33" s="36">
        <f t="shared" si="6"/>
        <v>1415800</v>
      </c>
      <c r="AA33" s="37">
        <v>3600000</v>
      </c>
      <c r="AB33" s="35">
        <f t="shared" si="7"/>
        <v>3997170.52</v>
      </c>
      <c r="AC33" s="36">
        <f t="shared" si="2"/>
        <v>3997200</v>
      </c>
      <c r="AD33" s="38">
        <f t="shared" si="3"/>
        <v>5413000</v>
      </c>
      <c r="AE33" s="90">
        <v>10</v>
      </c>
      <c r="AF33" s="45">
        <f t="shared" si="8"/>
        <v>5413</v>
      </c>
    </row>
    <row r="34" spans="2:32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3">
        <v>10</v>
      </c>
      <c r="Q34" s="56" t="s">
        <v>48</v>
      </c>
      <c r="R34" s="13">
        <v>566640.9</v>
      </c>
      <c r="S34" s="7">
        <v>59</v>
      </c>
      <c r="T34" s="34">
        <f t="shared" si="0"/>
        <v>359756.1</v>
      </c>
      <c r="U34" s="88">
        <v>0.261555503630431</v>
      </c>
      <c r="V34" s="35">
        <f t="shared" si="1"/>
        <v>358085.49</v>
      </c>
      <c r="W34" s="35">
        <f>399328.46-V34</f>
        <v>41242.97</v>
      </c>
      <c r="X34" s="85">
        <f t="shared" si="4"/>
        <v>399328.46</v>
      </c>
      <c r="Y34" s="35">
        <f t="shared" si="5"/>
        <v>104446.56</v>
      </c>
      <c r="Z34" s="36">
        <f t="shared" si="6"/>
        <v>104500</v>
      </c>
      <c r="AA34" s="37">
        <v>250000</v>
      </c>
      <c r="AB34" s="35">
        <f t="shared" si="7"/>
        <v>294881.9</v>
      </c>
      <c r="AC34" s="36">
        <f t="shared" si="2"/>
        <v>294900</v>
      </c>
      <c r="AD34" s="38">
        <f t="shared" si="3"/>
        <v>399400</v>
      </c>
      <c r="AE34" s="90">
        <v>1</v>
      </c>
      <c r="AF34" s="45">
        <f t="shared" si="8"/>
        <v>399.4</v>
      </c>
    </row>
    <row r="35" spans="2:32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43">
        <v>11</v>
      </c>
      <c r="Q35" s="56" t="s">
        <v>49</v>
      </c>
      <c r="R35" s="13">
        <v>15141856.8</v>
      </c>
      <c r="S35" s="7">
        <v>48</v>
      </c>
      <c r="T35" s="34">
        <f t="shared" si="0"/>
        <v>5564425.85</v>
      </c>
      <c r="U35" s="88">
        <v>0.261555503630431</v>
      </c>
      <c r="V35" s="35">
        <f t="shared" si="1"/>
        <v>5538586.24</v>
      </c>
      <c r="W35" s="35">
        <f>5520702.11-V35</f>
        <v>-17884.13</v>
      </c>
      <c r="X35" s="85">
        <f t="shared" si="4"/>
        <v>5520702.11</v>
      </c>
      <c r="Y35" s="35">
        <f t="shared" si="5"/>
        <v>1443970.02</v>
      </c>
      <c r="Z35" s="36">
        <f t="shared" si="6"/>
        <v>1444000</v>
      </c>
      <c r="AA35" s="37">
        <v>6028128</v>
      </c>
      <c r="AB35" s="35">
        <f t="shared" si="7"/>
        <v>4076732.09</v>
      </c>
      <c r="AC35" s="36">
        <f t="shared" si="2"/>
        <v>4076800</v>
      </c>
      <c r="AD35" s="38">
        <f t="shared" si="3"/>
        <v>5520800</v>
      </c>
      <c r="AE35" s="90">
        <v>9</v>
      </c>
      <c r="AF35" s="45">
        <f t="shared" si="8"/>
        <v>5520.8</v>
      </c>
    </row>
    <row r="36" spans="2:32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3">
        <v>12</v>
      </c>
      <c r="Q36" s="56" t="s">
        <v>50</v>
      </c>
      <c r="R36" s="13">
        <v>1865955</v>
      </c>
      <c r="S36" s="7">
        <v>58</v>
      </c>
      <c r="T36" s="34">
        <f t="shared" si="0"/>
        <v>1358028.57</v>
      </c>
      <c r="U36" s="88">
        <v>0.261555503630431</v>
      </c>
      <c r="V36" s="35">
        <f t="shared" si="1"/>
        <v>1351722.27</v>
      </c>
      <c r="W36" s="35">
        <f>1732160.43-V36</f>
        <v>380438.16</v>
      </c>
      <c r="X36" s="85">
        <f t="shared" si="4"/>
        <v>1732160.43</v>
      </c>
      <c r="Y36" s="35">
        <f t="shared" si="5"/>
        <v>453056.09</v>
      </c>
      <c r="Z36" s="36">
        <f t="shared" si="6"/>
        <v>453100</v>
      </c>
      <c r="AA36" s="37">
        <v>983400</v>
      </c>
      <c r="AB36" s="35">
        <f t="shared" si="7"/>
        <v>1279104.34</v>
      </c>
      <c r="AC36" s="36">
        <f t="shared" si="2"/>
        <v>1279200</v>
      </c>
      <c r="AD36" s="38">
        <f t="shared" si="3"/>
        <v>1732300</v>
      </c>
      <c r="AE36" s="90">
        <v>3</v>
      </c>
      <c r="AF36" s="45">
        <f t="shared" si="8"/>
        <v>1732.3</v>
      </c>
    </row>
    <row r="37" spans="2:32" ht="46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3">
        <v>13</v>
      </c>
      <c r="Q37" s="56" t="s">
        <v>51</v>
      </c>
      <c r="R37" s="13">
        <v>2294052.6</v>
      </c>
      <c r="S37" s="7">
        <v>60</v>
      </c>
      <c r="T37" s="34">
        <f t="shared" si="0"/>
        <v>1432650</v>
      </c>
      <c r="U37" s="88">
        <v>0.261555503630431</v>
      </c>
      <c r="V37" s="35">
        <f>$T$82*(T37/$T$80)+0.02</f>
        <v>1425997.2</v>
      </c>
      <c r="W37" s="35">
        <f>1432612.44-V37</f>
        <v>6615.24</v>
      </c>
      <c r="X37" s="85">
        <f t="shared" si="4"/>
        <v>1432612.44</v>
      </c>
      <c r="Y37" s="35">
        <f t="shared" si="5"/>
        <v>374707.67</v>
      </c>
      <c r="Z37" s="36">
        <f t="shared" si="6"/>
        <v>374800</v>
      </c>
      <c r="AA37" s="37">
        <v>955100</v>
      </c>
      <c r="AB37" s="35">
        <f t="shared" si="7"/>
        <v>1057904.77</v>
      </c>
      <c r="AC37" s="36">
        <f t="shared" si="2"/>
        <v>1058000</v>
      </c>
      <c r="AD37" s="38">
        <f t="shared" si="3"/>
        <v>1432800</v>
      </c>
      <c r="AE37" s="90">
        <v>4</v>
      </c>
      <c r="AF37" s="45">
        <f t="shared" si="8"/>
        <v>1432.8</v>
      </c>
    </row>
    <row r="38" spans="2:32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43">
        <v>14</v>
      </c>
      <c r="Q38" s="56" t="s">
        <v>52</v>
      </c>
      <c r="R38" s="13">
        <v>4443805.8</v>
      </c>
      <c r="S38" s="7">
        <v>53</v>
      </c>
      <c r="T38" s="34">
        <f t="shared" si="0"/>
        <v>2224421.28</v>
      </c>
      <c r="U38" s="88">
        <v>0.261555503630431</v>
      </c>
      <c r="V38" s="35">
        <f t="shared" si="1"/>
        <v>2214091.7</v>
      </c>
      <c r="W38" s="35">
        <f>2344528.95-V38</f>
        <v>130437.25</v>
      </c>
      <c r="X38" s="85">
        <f t="shared" si="4"/>
        <v>2344528.95</v>
      </c>
      <c r="Y38" s="35">
        <f t="shared" si="5"/>
        <v>613224.45</v>
      </c>
      <c r="Z38" s="36">
        <f t="shared" si="6"/>
        <v>613300</v>
      </c>
      <c r="AA38" s="37">
        <v>1972600</v>
      </c>
      <c r="AB38" s="35">
        <f t="shared" si="7"/>
        <v>1731304.5</v>
      </c>
      <c r="AC38" s="36">
        <f t="shared" si="2"/>
        <v>1731400</v>
      </c>
      <c r="AD38" s="38">
        <f t="shared" si="3"/>
        <v>2344700</v>
      </c>
      <c r="AE38" s="90">
        <v>3</v>
      </c>
      <c r="AF38" s="45">
        <f t="shared" si="8"/>
        <v>2344.7</v>
      </c>
    </row>
    <row r="39" spans="2:32" ht="30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43">
        <v>15</v>
      </c>
      <c r="Q39" s="56" t="s">
        <v>53</v>
      </c>
      <c r="R39" s="13">
        <v>3620878.8</v>
      </c>
      <c r="S39" s="7">
        <v>57</v>
      </c>
      <c r="T39" s="34">
        <f t="shared" si="0"/>
        <v>3237069.77</v>
      </c>
      <c r="U39" s="88">
        <v>0.261555503630431</v>
      </c>
      <c r="V39" s="35">
        <f t="shared" si="1"/>
        <v>3222037.74</v>
      </c>
      <c r="W39" s="35">
        <f>3567414.31-V39</f>
        <v>345376.57</v>
      </c>
      <c r="X39" s="85">
        <f t="shared" si="4"/>
        <v>3567414.31</v>
      </c>
      <c r="Y39" s="35">
        <f t="shared" si="5"/>
        <v>933076.85</v>
      </c>
      <c r="Z39" s="36">
        <f t="shared" si="6"/>
        <v>933100</v>
      </c>
      <c r="AA39" s="37">
        <v>2442000</v>
      </c>
      <c r="AB39" s="35">
        <f t="shared" si="7"/>
        <v>2634337.46</v>
      </c>
      <c r="AC39" s="36">
        <f t="shared" si="2"/>
        <v>2634400</v>
      </c>
      <c r="AD39" s="38">
        <f t="shared" si="3"/>
        <v>3567500</v>
      </c>
      <c r="AE39" s="90">
        <v>6</v>
      </c>
      <c r="AF39" s="45">
        <f t="shared" si="8"/>
        <v>3567.5</v>
      </c>
    </row>
    <row r="40" spans="2:32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43">
        <v>16</v>
      </c>
      <c r="Q40" s="56" t="s">
        <v>57</v>
      </c>
      <c r="R40" s="13">
        <v>987512.4</v>
      </c>
      <c r="S40" s="7">
        <v>51</v>
      </c>
      <c r="T40" s="34">
        <f t="shared" si="0"/>
        <v>532065.31</v>
      </c>
      <c r="U40" s="88">
        <v>0.261555503630431</v>
      </c>
      <c r="V40" s="35">
        <f t="shared" si="1"/>
        <v>529594.55</v>
      </c>
      <c r="W40" s="35">
        <f>601614.97-V40</f>
        <v>72020.42</v>
      </c>
      <c r="X40" s="85">
        <f t="shared" si="4"/>
        <v>601614.97</v>
      </c>
      <c r="Y40" s="35">
        <f t="shared" si="5"/>
        <v>157355.71</v>
      </c>
      <c r="Z40" s="36">
        <f t="shared" si="6"/>
        <v>157400</v>
      </c>
      <c r="AA40" s="37">
        <v>511200</v>
      </c>
      <c r="AB40" s="35">
        <f t="shared" si="7"/>
        <v>444259.26</v>
      </c>
      <c r="AC40" s="36">
        <f t="shared" si="2"/>
        <v>444300</v>
      </c>
      <c r="AD40" s="38">
        <f t="shared" si="3"/>
        <v>601700</v>
      </c>
      <c r="AE40" s="90">
        <v>1</v>
      </c>
      <c r="AF40" s="45">
        <f t="shared" si="8"/>
        <v>601.7</v>
      </c>
    </row>
    <row r="41" spans="2:32" ht="30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43">
        <v>17</v>
      </c>
      <c r="Q41" s="56" t="s">
        <v>58</v>
      </c>
      <c r="R41" s="13">
        <v>2962537.2</v>
      </c>
      <c r="S41" s="7">
        <v>60</v>
      </c>
      <c r="T41" s="34">
        <f t="shared" si="0"/>
        <v>1800000</v>
      </c>
      <c r="U41" s="88">
        <v>0.261555503630431</v>
      </c>
      <c r="V41" s="35">
        <f t="shared" si="1"/>
        <v>1791641.31</v>
      </c>
      <c r="W41" s="35">
        <f>1946401.38-V41</f>
        <v>154760.07</v>
      </c>
      <c r="X41" s="85">
        <f t="shared" si="4"/>
        <v>1946401.38</v>
      </c>
      <c r="Y41" s="35">
        <f t="shared" si="5"/>
        <v>509091.99</v>
      </c>
      <c r="Z41" s="36">
        <f t="shared" si="6"/>
        <v>509100</v>
      </c>
      <c r="AA41" s="37">
        <v>1200000</v>
      </c>
      <c r="AB41" s="35">
        <f t="shared" si="7"/>
        <v>1437309.39</v>
      </c>
      <c r="AC41" s="36">
        <f t="shared" si="2"/>
        <v>1437400</v>
      </c>
      <c r="AD41" s="38">
        <f t="shared" si="3"/>
        <v>1946500</v>
      </c>
      <c r="AE41" s="90">
        <v>3</v>
      </c>
      <c r="AF41" s="45">
        <f t="shared" si="8"/>
        <v>1946.5</v>
      </c>
    </row>
    <row r="42" spans="2:32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43">
        <v>18</v>
      </c>
      <c r="Q42" s="56" t="s">
        <v>56</v>
      </c>
      <c r="R42" s="13">
        <v>557550</v>
      </c>
      <c r="S42" s="7">
        <v>60</v>
      </c>
      <c r="T42" s="34">
        <f t="shared" si="0"/>
        <v>1816500</v>
      </c>
      <c r="U42" s="88">
        <v>0.261555503630431</v>
      </c>
      <c r="V42" s="35">
        <f t="shared" si="1"/>
        <v>1808064.69</v>
      </c>
      <c r="W42" s="35">
        <f>1233792-V42</f>
        <v>-574272.69</v>
      </c>
      <c r="X42" s="85">
        <f t="shared" si="4"/>
        <v>1233792</v>
      </c>
      <c r="Y42" s="35">
        <f t="shared" si="5"/>
        <v>322705.09</v>
      </c>
      <c r="Z42" s="36">
        <f t="shared" si="6"/>
        <v>322800</v>
      </c>
      <c r="AA42" s="37">
        <v>1211000</v>
      </c>
      <c r="AB42" s="35">
        <f t="shared" si="7"/>
        <v>911086.91</v>
      </c>
      <c r="AC42" s="36">
        <f t="shared" si="2"/>
        <v>911100</v>
      </c>
      <c r="AD42" s="38">
        <f t="shared" si="3"/>
        <v>1233900</v>
      </c>
      <c r="AE42" s="90">
        <v>4</v>
      </c>
      <c r="AF42" s="45">
        <f t="shared" si="8"/>
        <v>1233.9</v>
      </c>
    </row>
    <row r="43" spans="2:32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3">
        <v>19</v>
      </c>
      <c r="Q43" s="56" t="s">
        <v>55</v>
      </c>
      <c r="R43" s="13">
        <v>493756.2</v>
      </c>
      <c r="S43" s="7">
        <v>56</v>
      </c>
      <c r="T43" s="34">
        <f t="shared" si="0"/>
        <v>1272727.27</v>
      </c>
      <c r="U43" s="88">
        <v>0.261555503630431</v>
      </c>
      <c r="V43" s="35">
        <f t="shared" si="1"/>
        <v>1266817.09</v>
      </c>
      <c r="W43" s="35">
        <f>880795.77-V43</f>
        <v>-386021.32</v>
      </c>
      <c r="X43" s="85">
        <f t="shared" si="4"/>
        <v>880795.77</v>
      </c>
      <c r="Y43" s="35">
        <f t="shared" si="5"/>
        <v>230376.98</v>
      </c>
      <c r="Z43" s="36">
        <f t="shared" si="6"/>
        <v>230400</v>
      </c>
      <c r="AA43" s="37">
        <v>1000000</v>
      </c>
      <c r="AB43" s="35">
        <f t="shared" si="7"/>
        <v>650418.79</v>
      </c>
      <c r="AC43" s="36">
        <f t="shared" si="2"/>
        <v>650500</v>
      </c>
      <c r="AD43" s="38">
        <f t="shared" si="3"/>
        <v>880900</v>
      </c>
      <c r="AE43" s="90">
        <v>2</v>
      </c>
      <c r="AF43" s="45">
        <f t="shared" si="8"/>
        <v>880.9</v>
      </c>
    </row>
    <row r="44" spans="2:32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3">
        <v>20</v>
      </c>
      <c r="Q44" s="56" t="s">
        <v>60</v>
      </c>
      <c r="R44" s="13">
        <v>4269919.5</v>
      </c>
      <c r="S44" s="7">
        <v>55</v>
      </c>
      <c r="T44" s="34">
        <f t="shared" si="0"/>
        <v>3123008.78</v>
      </c>
      <c r="U44" s="88">
        <v>0.261555503630431</v>
      </c>
      <c r="V44" s="35">
        <f t="shared" si="1"/>
        <v>3108506.41</v>
      </c>
      <c r="W44" s="35">
        <f>3123007.98-V44</f>
        <v>14501.57</v>
      </c>
      <c r="X44" s="85">
        <f t="shared" si="4"/>
        <v>3123007.98</v>
      </c>
      <c r="Y44" s="35">
        <f t="shared" si="5"/>
        <v>816839.93</v>
      </c>
      <c r="Z44" s="36">
        <f t="shared" si="6"/>
        <v>816900</v>
      </c>
      <c r="AA44" s="37">
        <v>2555189</v>
      </c>
      <c r="AB44" s="35">
        <f t="shared" si="7"/>
        <v>2306168.05</v>
      </c>
      <c r="AC44" s="36">
        <f t="shared" si="2"/>
        <v>2306200</v>
      </c>
      <c r="AD44" s="38">
        <f t="shared" si="3"/>
        <v>3123100</v>
      </c>
      <c r="AE44" s="90">
        <v>7</v>
      </c>
      <c r="AF44" s="45">
        <f t="shared" si="8"/>
        <v>3123.1</v>
      </c>
    </row>
    <row r="45" spans="2:32" ht="30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43">
        <v>21</v>
      </c>
      <c r="Q45" s="56" t="s">
        <v>61</v>
      </c>
      <c r="R45" s="13">
        <v>8120038.5</v>
      </c>
      <c r="S45" s="7">
        <v>58</v>
      </c>
      <c r="T45" s="34">
        <f t="shared" si="0"/>
        <v>2673028.05</v>
      </c>
      <c r="U45" s="88">
        <v>0.261555503630431</v>
      </c>
      <c r="V45" s="35">
        <f t="shared" si="1"/>
        <v>2660615.27</v>
      </c>
      <c r="W45" s="35">
        <f>2291167.62-V45</f>
        <v>-369447.65</v>
      </c>
      <c r="X45" s="85">
        <f t="shared" si="4"/>
        <v>2291167.62</v>
      </c>
      <c r="Y45" s="35">
        <f t="shared" si="5"/>
        <v>599267.5</v>
      </c>
      <c r="Z45" s="36">
        <f t="shared" si="6"/>
        <v>599300</v>
      </c>
      <c r="AA45" s="37">
        <v>1935641</v>
      </c>
      <c r="AB45" s="35">
        <f t="shared" si="7"/>
        <v>1691900.12</v>
      </c>
      <c r="AC45" s="36">
        <f t="shared" si="2"/>
        <v>1692000</v>
      </c>
      <c r="AD45" s="38">
        <f t="shared" si="3"/>
        <v>2291300</v>
      </c>
      <c r="AE45" s="90">
        <v>5</v>
      </c>
      <c r="AF45" s="45">
        <f t="shared" si="8"/>
        <v>2291.3</v>
      </c>
    </row>
    <row r="46" spans="2:32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43">
        <v>22</v>
      </c>
      <c r="Q46" s="56" t="s">
        <v>59</v>
      </c>
      <c r="R46" s="13">
        <v>3209415.3</v>
      </c>
      <c r="S46" s="7">
        <v>59</v>
      </c>
      <c r="T46" s="34">
        <f t="shared" si="0"/>
        <v>923147.1</v>
      </c>
      <c r="U46" s="88">
        <v>0.261555503630431</v>
      </c>
      <c r="V46" s="35">
        <f t="shared" si="1"/>
        <v>918860.27</v>
      </c>
      <c r="W46" s="35">
        <f>1043978.92-V46</f>
        <v>125118.65</v>
      </c>
      <c r="X46" s="85">
        <f t="shared" si="4"/>
        <v>1043978.92</v>
      </c>
      <c r="Y46" s="35">
        <f t="shared" si="5"/>
        <v>273058.43</v>
      </c>
      <c r="Z46" s="36">
        <f t="shared" si="6"/>
        <v>273100</v>
      </c>
      <c r="AA46" s="37">
        <v>641509</v>
      </c>
      <c r="AB46" s="35">
        <f t="shared" si="7"/>
        <v>770920.49</v>
      </c>
      <c r="AC46" s="36">
        <f t="shared" si="2"/>
        <v>771000</v>
      </c>
      <c r="AD46" s="38">
        <f t="shared" si="3"/>
        <v>1044100</v>
      </c>
      <c r="AE46" s="90">
        <v>2</v>
      </c>
      <c r="AF46" s="45">
        <f t="shared" si="8"/>
        <v>1044.1</v>
      </c>
    </row>
    <row r="47" spans="2:32" s="71" customFormat="1" ht="1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>
        <v>0</v>
      </c>
      <c r="P47" s="62">
        <v>23</v>
      </c>
      <c r="Q47" s="63" t="s">
        <v>54</v>
      </c>
      <c r="R47" s="64">
        <v>91344897</v>
      </c>
      <c r="S47" s="65">
        <v>40</v>
      </c>
      <c r="T47" s="66">
        <f t="shared" si="0"/>
        <v>43333333.33</v>
      </c>
      <c r="U47" s="88">
        <v>0.261555503630431</v>
      </c>
      <c r="V47" s="67">
        <f t="shared" si="1"/>
        <v>43132105.64</v>
      </c>
      <c r="W47" s="67">
        <f>43371327.72-V47+102109.26-5800</f>
        <v>335531.34</v>
      </c>
      <c r="X47" s="86">
        <f t="shared" si="4"/>
        <v>43467636.98</v>
      </c>
      <c r="Y47" s="67">
        <f t="shared" si="5"/>
        <v>11369199.68</v>
      </c>
      <c r="Z47" s="67">
        <f>ROUNDUP((Y47),-2)-1200</f>
        <v>11368000</v>
      </c>
      <c r="AA47" s="68">
        <v>65000000</v>
      </c>
      <c r="AB47" s="67">
        <f t="shared" si="7"/>
        <v>32098437.3</v>
      </c>
      <c r="AC47" s="67">
        <f>ROUNDUP((AB47),-2)+1200</f>
        <v>32099700</v>
      </c>
      <c r="AD47" s="69">
        <f t="shared" si="3"/>
        <v>43467700</v>
      </c>
      <c r="AE47" s="91">
        <v>92</v>
      </c>
      <c r="AF47" s="70">
        <f t="shared" si="8"/>
        <v>43467.7</v>
      </c>
    </row>
    <row r="48" spans="2:32" ht="30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43">
        <v>24</v>
      </c>
      <c r="Q48" s="56" t="s">
        <v>62</v>
      </c>
      <c r="R48" s="13">
        <v>6861372</v>
      </c>
      <c r="S48" s="7">
        <v>58</v>
      </c>
      <c r="T48" s="34">
        <f t="shared" si="0"/>
        <v>9989596.86</v>
      </c>
      <c r="U48" s="88">
        <v>0.261555503630431</v>
      </c>
      <c r="V48" s="35">
        <f t="shared" si="1"/>
        <v>9943208.01</v>
      </c>
      <c r="W48" s="35">
        <f>9989597.52-V48</f>
        <v>46389.51</v>
      </c>
      <c r="X48" s="85">
        <f t="shared" si="4"/>
        <v>9989597.52</v>
      </c>
      <c r="Y48" s="35">
        <f t="shared" si="5"/>
        <v>2612834.21</v>
      </c>
      <c r="Z48" s="36">
        <f t="shared" si="6"/>
        <v>2612900</v>
      </c>
      <c r="AA48" s="37">
        <v>7233846</v>
      </c>
      <c r="AB48" s="35">
        <f t="shared" si="7"/>
        <v>7376763.31</v>
      </c>
      <c r="AC48" s="36">
        <f t="shared" si="2"/>
        <v>7376800</v>
      </c>
      <c r="AD48" s="38">
        <f t="shared" si="3"/>
        <v>9989700</v>
      </c>
      <c r="AE48" s="90">
        <v>22</v>
      </c>
      <c r="AF48" s="45">
        <f t="shared" si="8"/>
        <v>9989.7</v>
      </c>
    </row>
    <row r="49" spans="2:32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43">
        <v>25</v>
      </c>
      <c r="Q49" s="56" t="s">
        <v>63</v>
      </c>
      <c r="R49" s="13">
        <v>10807681.5</v>
      </c>
      <c r="S49" s="7">
        <v>59</v>
      </c>
      <c r="T49" s="34">
        <f t="shared" si="0"/>
        <v>5232629.41</v>
      </c>
      <c r="U49" s="88">
        <v>0.261555503630431</v>
      </c>
      <c r="V49" s="35">
        <f t="shared" si="1"/>
        <v>5208330.57</v>
      </c>
      <c r="W49" s="35">
        <f>5170105.42-V49</f>
        <v>-38225.15</v>
      </c>
      <c r="X49" s="85">
        <f t="shared" si="4"/>
        <v>5170105.42</v>
      </c>
      <c r="Y49" s="35">
        <f t="shared" si="5"/>
        <v>1352269.53</v>
      </c>
      <c r="Z49" s="36">
        <f t="shared" si="6"/>
        <v>1352300</v>
      </c>
      <c r="AA49" s="37">
        <v>3636234</v>
      </c>
      <c r="AB49" s="35">
        <f t="shared" si="7"/>
        <v>3817835.89</v>
      </c>
      <c r="AC49" s="36">
        <f t="shared" si="2"/>
        <v>3817900</v>
      </c>
      <c r="AD49" s="38">
        <f t="shared" si="3"/>
        <v>5170200</v>
      </c>
      <c r="AE49" s="90">
        <v>11</v>
      </c>
      <c r="AF49" s="45">
        <f t="shared" si="8"/>
        <v>5170.2</v>
      </c>
    </row>
    <row r="50" spans="2:32" ht="30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43">
        <v>26</v>
      </c>
      <c r="Q50" s="56" t="s">
        <v>64</v>
      </c>
      <c r="R50" s="13">
        <v>17740800</v>
      </c>
      <c r="S50" s="7">
        <v>60</v>
      </c>
      <c r="T50" s="34">
        <f t="shared" si="0"/>
        <v>9000000</v>
      </c>
      <c r="U50" s="88">
        <v>0.261555503630431</v>
      </c>
      <c r="V50" s="35">
        <f t="shared" si="1"/>
        <v>8958206.56</v>
      </c>
      <c r="W50" s="35">
        <f>7983360-V50</f>
        <v>-974846.56</v>
      </c>
      <c r="X50" s="85">
        <f t="shared" si="4"/>
        <v>7983360</v>
      </c>
      <c r="Y50" s="35">
        <f t="shared" si="5"/>
        <v>2088091.75</v>
      </c>
      <c r="Z50" s="36">
        <f t="shared" si="6"/>
        <v>2088100</v>
      </c>
      <c r="AA50" s="37">
        <v>6000000</v>
      </c>
      <c r="AB50" s="35">
        <f t="shared" si="7"/>
        <v>5895268.25</v>
      </c>
      <c r="AC50" s="36">
        <f t="shared" si="2"/>
        <v>5895300</v>
      </c>
      <c r="AD50" s="38">
        <f t="shared" si="3"/>
        <v>7983400</v>
      </c>
      <c r="AE50" s="90">
        <v>19</v>
      </c>
      <c r="AF50" s="45">
        <f t="shared" si="8"/>
        <v>7983.4</v>
      </c>
    </row>
    <row r="51" spans="16:32" ht="15">
      <c r="P51" s="43">
        <v>27</v>
      </c>
      <c r="Q51" s="55" t="s">
        <v>106</v>
      </c>
      <c r="S51" s="3">
        <v>56</v>
      </c>
      <c r="T51" s="34">
        <f t="shared" si="0"/>
        <v>1839345.45</v>
      </c>
      <c r="U51" s="88">
        <v>0.261555503630431</v>
      </c>
      <c r="V51" s="35">
        <f t="shared" si="1"/>
        <v>1830804.05</v>
      </c>
      <c r="W51" s="39">
        <f>1236899.15-V51</f>
        <v>-593904.9</v>
      </c>
      <c r="X51" s="85">
        <f t="shared" si="4"/>
        <v>1236899.15</v>
      </c>
      <c r="Y51" s="35">
        <f t="shared" si="5"/>
        <v>323517.78</v>
      </c>
      <c r="Z51" s="36">
        <f t="shared" si="6"/>
        <v>323600</v>
      </c>
      <c r="AA51" s="40">
        <v>1445200</v>
      </c>
      <c r="AB51" s="35">
        <f t="shared" si="7"/>
        <v>913381.37</v>
      </c>
      <c r="AC51" s="36">
        <f t="shared" si="2"/>
        <v>913400</v>
      </c>
      <c r="AD51" s="38">
        <f t="shared" si="3"/>
        <v>1237000</v>
      </c>
      <c r="AE51" s="90">
        <v>4</v>
      </c>
      <c r="AF51" s="45">
        <f t="shared" si="8"/>
        <v>1237</v>
      </c>
    </row>
    <row r="52" spans="2:32" ht="30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43">
        <v>28</v>
      </c>
      <c r="Q52" s="56" t="s">
        <v>65</v>
      </c>
      <c r="R52" s="13">
        <v>2423421</v>
      </c>
      <c r="S52" s="7">
        <v>60</v>
      </c>
      <c r="T52" s="34">
        <f t="shared" si="0"/>
        <v>2250000</v>
      </c>
      <c r="U52" s="88">
        <v>0.261555503630431</v>
      </c>
      <c r="V52" s="35">
        <f t="shared" si="1"/>
        <v>2239551.64</v>
      </c>
      <c r="W52" s="35">
        <f>2247172.2-V52</f>
        <v>7620.56</v>
      </c>
      <c r="X52" s="85">
        <f t="shared" si="4"/>
        <v>2247172.2</v>
      </c>
      <c r="Y52" s="35">
        <f t="shared" si="5"/>
        <v>587760.26</v>
      </c>
      <c r="Z52" s="36">
        <f t="shared" si="6"/>
        <v>587800</v>
      </c>
      <c r="AA52" s="37">
        <v>1500000</v>
      </c>
      <c r="AB52" s="35">
        <f t="shared" si="7"/>
        <v>1659411.94</v>
      </c>
      <c r="AC52" s="36">
        <f t="shared" si="2"/>
        <v>1659500</v>
      </c>
      <c r="AD52" s="38">
        <f t="shared" si="3"/>
        <v>2247300</v>
      </c>
      <c r="AE52" s="90">
        <v>5</v>
      </c>
      <c r="AF52" s="45">
        <f t="shared" si="8"/>
        <v>2247.3</v>
      </c>
    </row>
    <row r="53" spans="2:32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3">
        <v>29</v>
      </c>
      <c r="Q53" s="56" t="s">
        <v>66</v>
      </c>
      <c r="R53" s="13">
        <v>4196927.7</v>
      </c>
      <c r="S53" s="7">
        <v>57</v>
      </c>
      <c r="T53" s="34">
        <f t="shared" si="0"/>
        <v>2379020.93</v>
      </c>
      <c r="U53" s="88">
        <v>0.261555503630431</v>
      </c>
      <c r="V53" s="35">
        <f t="shared" si="1"/>
        <v>2367973.43</v>
      </c>
      <c r="W53" s="35">
        <f>2353376.2-V53</f>
        <v>-14597.23</v>
      </c>
      <c r="X53" s="85">
        <f t="shared" si="4"/>
        <v>2353376.2</v>
      </c>
      <c r="Y53" s="35">
        <f t="shared" si="5"/>
        <v>615538.5</v>
      </c>
      <c r="Z53" s="36">
        <f t="shared" si="6"/>
        <v>615600</v>
      </c>
      <c r="AA53" s="37">
        <v>1794700</v>
      </c>
      <c r="AB53" s="35">
        <f t="shared" si="7"/>
        <v>1737837.7</v>
      </c>
      <c r="AC53" s="36">
        <f t="shared" si="2"/>
        <v>1737900</v>
      </c>
      <c r="AD53" s="38">
        <f t="shared" si="3"/>
        <v>2353500</v>
      </c>
      <c r="AE53" s="90">
        <v>4</v>
      </c>
      <c r="AF53" s="45">
        <f t="shared" si="8"/>
        <v>2353.5</v>
      </c>
    </row>
    <row r="54" spans="2:32" ht="30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3">
        <v>30</v>
      </c>
      <c r="Q54" s="56" t="s">
        <v>67</v>
      </c>
      <c r="R54" s="13">
        <v>1204812</v>
      </c>
      <c r="S54" s="7">
        <v>60</v>
      </c>
      <c r="T54" s="34">
        <f t="shared" si="0"/>
        <v>839790</v>
      </c>
      <c r="U54" s="88">
        <v>0.261555503630431</v>
      </c>
      <c r="V54" s="35">
        <f t="shared" si="1"/>
        <v>835890.25</v>
      </c>
      <c r="W54" s="35">
        <f>806198.4-V54</f>
        <v>-29691.85</v>
      </c>
      <c r="X54" s="85">
        <f t="shared" si="4"/>
        <v>806198.4</v>
      </c>
      <c r="Y54" s="35">
        <f t="shared" si="5"/>
        <v>210865.63</v>
      </c>
      <c r="Z54" s="36">
        <f t="shared" si="6"/>
        <v>210900</v>
      </c>
      <c r="AA54" s="37">
        <v>559860</v>
      </c>
      <c r="AB54" s="35">
        <f t="shared" si="7"/>
        <v>595332.77</v>
      </c>
      <c r="AC54" s="36">
        <f t="shared" si="2"/>
        <v>595400</v>
      </c>
      <c r="AD54" s="38">
        <f t="shared" si="3"/>
        <v>806300</v>
      </c>
      <c r="AE54" s="90">
        <v>2</v>
      </c>
      <c r="AF54" s="45">
        <f t="shared" si="8"/>
        <v>806.3</v>
      </c>
    </row>
    <row r="55" spans="2:32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3">
        <v>31</v>
      </c>
      <c r="Q55" s="56" t="s">
        <v>69</v>
      </c>
      <c r="R55" s="13">
        <v>732726.54</v>
      </c>
      <c r="S55" s="7">
        <v>59</v>
      </c>
      <c r="T55" s="34">
        <f t="shared" si="0"/>
        <v>2415126.15</v>
      </c>
      <c r="U55" s="88">
        <v>0.261555503630431</v>
      </c>
      <c r="V55" s="35">
        <f t="shared" si="1"/>
        <v>2403910.99</v>
      </c>
      <c r="W55" s="35">
        <f>2574762.42-V55</f>
        <v>170851.43</v>
      </c>
      <c r="X55" s="85">
        <f t="shared" si="4"/>
        <v>2574762.42</v>
      </c>
      <c r="Y55" s="35">
        <f t="shared" si="5"/>
        <v>673443.28</v>
      </c>
      <c r="Z55" s="36">
        <f t="shared" si="6"/>
        <v>673500</v>
      </c>
      <c r="AA55" s="37">
        <v>1678308</v>
      </c>
      <c r="AB55" s="35">
        <f t="shared" si="7"/>
        <v>1901319.14</v>
      </c>
      <c r="AC55" s="36">
        <f t="shared" si="2"/>
        <v>1901400</v>
      </c>
      <c r="AD55" s="38">
        <f t="shared" si="3"/>
        <v>2574900</v>
      </c>
      <c r="AE55" s="90">
        <v>5</v>
      </c>
      <c r="AF55" s="45">
        <f t="shared" si="8"/>
        <v>2574.9</v>
      </c>
    </row>
    <row r="56" spans="2:32" ht="46.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3">
        <v>32</v>
      </c>
      <c r="Q56" s="56" t="s">
        <v>70</v>
      </c>
      <c r="R56" s="13">
        <v>1389150</v>
      </c>
      <c r="S56" s="7">
        <v>60</v>
      </c>
      <c r="T56" s="34">
        <f t="shared" si="0"/>
        <v>1424220</v>
      </c>
      <c r="U56" s="88">
        <v>0.261555503630431</v>
      </c>
      <c r="V56" s="35">
        <f t="shared" si="1"/>
        <v>1417606.33</v>
      </c>
      <c r="W56" s="35">
        <f>1475017.23-V56</f>
        <v>57410.9</v>
      </c>
      <c r="X56" s="85">
        <f t="shared" si="4"/>
        <v>1475017.23</v>
      </c>
      <c r="Y56" s="35">
        <f t="shared" si="5"/>
        <v>385798.87</v>
      </c>
      <c r="Z56" s="36">
        <f t="shared" si="6"/>
        <v>385800</v>
      </c>
      <c r="AA56" s="37">
        <v>949480</v>
      </c>
      <c r="AB56" s="35">
        <f t="shared" si="7"/>
        <v>1089218.36</v>
      </c>
      <c r="AC56" s="36">
        <f t="shared" si="2"/>
        <v>1089300</v>
      </c>
      <c r="AD56" s="38">
        <f t="shared" si="3"/>
        <v>1475100</v>
      </c>
      <c r="AE56" s="90">
        <v>3</v>
      </c>
      <c r="AF56" s="45">
        <f t="shared" si="8"/>
        <v>1475.1</v>
      </c>
    </row>
    <row r="57" spans="2:32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43">
        <v>33</v>
      </c>
      <c r="Q57" s="56" t="s">
        <v>71</v>
      </c>
      <c r="R57" s="13">
        <v>1722898.8</v>
      </c>
      <c r="S57" s="7">
        <v>55</v>
      </c>
      <c r="T57" s="34">
        <f aca="true" t="shared" si="9" ref="T57:T79">S57/100*(AA57/(1-S57/100))</f>
        <v>1659002.89</v>
      </c>
      <c r="U57" s="88">
        <v>0.261555503630431</v>
      </c>
      <c r="V57" s="35">
        <f t="shared" si="1"/>
        <v>1651298.95</v>
      </c>
      <c r="W57" s="35">
        <f>1729599.81-V57</f>
        <v>78300.86</v>
      </c>
      <c r="X57" s="85">
        <f t="shared" si="4"/>
        <v>1729599.81</v>
      </c>
      <c r="Y57" s="35">
        <f t="shared" si="5"/>
        <v>452386.35</v>
      </c>
      <c r="Z57" s="36">
        <f t="shared" si="6"/>
        <v>452400</v>
      </c>
      <c r="AA57" s="37">
        <v>1357366</v>
      </c>
      <c r="AB57" s="35">
        <f t="shared" si="7"/>
        <v>1277213.46</v>
      </c>
      <c r="AC57" s="36">
        <f t="shared" si="2"/>
        <v>1277300</v>
      </c>
      <c r="AD57" s="38">
        <f t="shared" si="3"/>
        <v>1729700</v>
      </c>
      <c r="AE57" s="90">
        <v>5</v>
      </c>
      <c r="AF57" s="45">
        <f t="shared" si="8"/>
        <v>1729.7</v>
      </c>
    </row>
    <row r="58" spans="2:32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43">
        <v>34</v>
      </c>
      <c r="Q58" s="56" t="s">
        <v>68</v>
      </c>
      <c r="R58" s="13">
        <v>6912586.8</v>
      </c>
      <c r="S58" s="7">
        <v>42</v>
      </c>
      <c r="T58" s="34">
        <f t="shared" si="9"/>
        <v>3638793.1</v>
      </c>
      <c r="U58" s="88">
        <v>0.261555503630431</v>
      </c>
      <c r="V58" s="35">
        <f t="shared" si="1"/>
        <v>3621895.58</v>
      </c>
      <c r="W58" s="35">
        <f>3757144.46-V58</f>
        <v>135248.88</v>
      </c>
      <c r="X58" s="85">
        <f t="shared" si="4"/>
        <v>3757144.46</v>
      </c>
      <c r="Y58" s="35">
        <f t="shared" si="5"/>
        <v>982701.81</v>
      </c>
      <c r="Z58" s="36">
        <f t="shared" si="6"/>
        <v>982800</v>
      </c>
      <c r="AA58" s="37">
        <v>5025000</v>
      </c>
      <c r="AB58" s="35">
        <f t="shared" si="7"/>
        <v>2774442.65</v>
      </c>
      <c r="AC58" s="36">
        <f t="shared" si="2"/>
        <v>2774500</v>
      </c>
      <c r="AD58" s="38">
        <f t="shared" si="3"/>
        <v>3757300</v>
      </c>
      <c r="AE58" s="90">
        <v>8</v>
      </c>
      <c r="AF58" s="45">
        <f t="shared" si="8"/>
        <v>3757.3</v>
      </c>
    </row>
    <row r="59" spans="2:32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43">
        <v>35</v>
      </c>
      <c r="Q59" s="56" t="s">
        <v>72</v>
      </c>
      <c r="R59" s="13">
        <v>5164110</v>
      </c>
      <c r="S59" s="7">
        <v>59</v>
      </c>
      <c r="T59" s="34">
        <f t="shared" si="9"/>
        <v>4892682.93</v>
      </c>
      <c r="U59" s="88">
        <v>0.261555503630431</v>
      </c>
      <c r="V59" s="35">
        <f t="shared" si="1"/>
        <v>4869962.7</v>
      </c>
      <c r="W59" s="35">
        <f>4951096-V59</f>
        <v>81133.3</v>
      </c>
      <c r="X59" s="85">
        <f t="shared" si="4"/>
        <v>4951096</v>
      </c>
      <c r="Y59" s="35">
        <f t="shared" si="5"/>
        <v>1294986.41</v>
      </c>
      <c r="Z59" s="36">
        <f t="shared" si="6"/>
        <v>1295000</v>
      </c>
      <c r="AA59" s="37">
        <v>3400000</v>
      </c>
      <c r="AB59" s="35">
        <f t="shared" si="7"/>
        <v>3656109.59</v>
      </c>
      <c r="AC59" s="36">
        <f t="shared" si="2"/>
        <v>3656200</v>
      </c>
      <c r="AD59" s="38">
        <f t="shared" si="3"/>
        <v>4951200</v>
      </c>
      <c r="AE59" s="90">
        <v>12</v>
      </c>
      <c r="AF59" s="45">
        <f t="shared" si="8"/>
        <v>4951.2</v>
      </c>
    </row>
    <row r="60" spans="2:32" ht="46.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43">
        <v>36</v>
      </c>
      <c r="Q60" s="56" t="s">
        <v>73</v>
      </c>
      <c r="R60" s="13">
        <v>3072447</v>
      </c>
      <c r="S60" s="7">
        <v>60</v>
      </c>
      <c r="T60" s="34">
        <f t="shared" si="9"/>
        <v>1887450</v>
      </c>
      <c r="U60" s="88">
        <v>0.261555503630431</v>
      </c>
      <c r="V60" s="35">
        <f>$T$82*(T60/$T$80)</f>
        <v>1878685.22</v>
      </c>
      <c r="W60" s="35">
        <f>1877586.48-V60</f>
        <v>-1098.74</v>
      </c>
      <c r="X60" s="85">
        <f t="shared" si="4"/>
        <v>1877586.48</v>
      </c>
      <c r="Y60" s="35">
        <f t="shared" si="5"/>
        <v>491093.08</v>
      </c>
      <c r="Z60" s="36">
        <f t="shared" si="6"/>
        <v>491100</v>
      </c>
      <c r="AA60" s="37">
        <v>1258300</v>
      </c>
      <c r="AB60" s="35">
        <f t="shared" si="7"/>
        <v>1386493.4</v>
      </c>
      <c r="AC60" s="36">
        <f t="shared" si="2"/>
        <v>1386500</v>
      </c>
      <c r="AD60" s="38">
        <f t="shared" si="3"/>
        <v>1877600</v>
      </c>
      <c r="AE60" s="90">
        <v>4</v>
      </c>
      <c r="AF60" s="45">
        <f t="shared" si="8"/>
        <v>1877.6</v>
      </c>
    </row>
    <row r="61" spans="2:32" ht="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43">
        <v>37</v>
      </c>
      <c r="Q61" s="56" t="s">
        <v>74</v>
      </c>
      <c r="R61" s="13">
        <v>4937562</v>
      </c>
      <c r="S61" s="7">
        <v>50</v>
      </c>
      <c r="T61" s="34">
        <f t="shared" si="9"/>
        <v>1761600</v>
      </c>
      <c r="U61" s="88">
        <v>0.261555503630431</v>
      </c>
      <c r="V61" s="35">
        <f t="shared" si="1"/>
        <v>1753419.63</v>
      </c>
      <c r="W61" s="35">
        <f>2064365.1-V61</f>
        <v>310945.47</v>
      </c>
      <c r="X61" s="85">
        <f t="shared" si="4"/>
        <v>2064365.1</v>
      </c>
      <c r="Y61" s="35">
        <f t="shared" si="5"/>
        <v>539946.05</v>
      </c>
      <c r="Z61" s="36">
        <f t="shared" si="6"/>
        <v>540000</v>
      </c>
      <c r="AA61" s="37">
        <v>1761600</v>
      </c>
      <c r="AB61" s="35">
        <f t="shared" si="7"/>
        <v>1524419.05</v>
      </c>
      <c r="AC61" s="36">
        <f t="shared" si="2"/>
        <v>1524500</v>
      </c>
      <c r="AD61" s="38">
        <f t="shared" si="3"/>
        <v>2064500</v>
      </c>
      <c r="AE61" s="90">
        <v>3</v>
      </c>
      <c r="AF61" s="45">
        <f t="shared" si="8"/>
        <v>2064.5</v>
      </c>
    </row>
    <row r="62" spans="2:32" ht="30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43">
        <v>38</v>
      </c>
      <c r="Q62" s="56" t="s">
        <v>75</v>
      </c>
      <c r="R62" s="13">
        <v>2548627.2</v>
      </c>
      <c r="S62" s="7">
        <v>50</v>
      </c>
      <c r="T62" s="34">
        <f t="shared" si="9"/>
        <v>850000</v>
      </c>
      <c r="U62" s="88">
        <v>0.261555503630431</v>
      </c>
      <c r="V62" s="35">
        <f t="shared" si="1"/>
        <v>846052.84</v>
      </c>
      <c r="W62" s="35">
        <f>778049.69-V62</f>
        <v>-68003.15</v>
      </c>
      <c r="X62" s="85">
        <f t="shared" si="4"/>
        <v>778049.69</v>
      </c>
      <c r="Y62" s="35">
        <f t="shared" si="5"/>
        <v>203503.18</v>
      </c>
      <c r="Z62" s="36">
        <f t="shared" si="6"/>
        <v>203600</v>
      </c>
      <c r="AA62" s="37">
        <v>850000</v>
      </c>
      <c r="AB62" s="35">
        <f t="shared" si="7"/>
        <v>574546.51</v>
      </c>
      <c r="AC62" s="36">
        <f t="shared" si="2"/>
        <v>574600</v>
      </c>
      <c r="AD62" s="38">
        <f t="shared" si="3"/>
        <v>778200</v>
      </c>
      <c r="AE62" s="90">
        <v>2</v>
      </c>
      <c r="AF62" s="45">
        <f t="shared" si="8"/>
        <v>778.2</v>
      </c>
    </row>
    <row r="63" spans="2:32" ht="30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43">
        <v>39</v>
      </c>
      <c r="Q63" s="56" t="s">
        <v>76</v>
      </c>
      <c r="R63" s="13">
        <v>1863237.6</v>
      </c>
      <c r="S63" s="7">
        <v>60</v>
      </c>
      <c r="T63" s="34">
        <f t="shared" si="9"/>
        <v>838500</v>
      </c>
      <c r="U63" s="88">
        <v>0.261555503630431</v>
      </c>
      <c r="V63" s="35">
        <f t="shared" si="1"/>
        <v>834606.24</v>
      </c>
      <c r="W63" s="35">
        <f>838456.92-V63</f>
        <v>3850.68</v>
      </c>
      <c r="X63" s="85">
        <f t="shared" si="4"/>
        <v>838456.92</v>
      </c>
      <c r="Y63" s="35">
        <f t="shared" si="5"/>
        <v>219303.02</v>
      </c>
      <c r="Z63" s="36">
        <f t="shared" si="6"/>
        <v>219400</v>
      </c>
      <c r="AA63" s="37">
        <v>559000</v>
      </c>
      <c r="AB63" s="35">
        <f t="shared" si="7"/>
        <v>619153.9</v>
      </c>
      <c r="AC63" s="36">
        <f t="shared" si="2"/>
        <v>619200</v>
      </c>
      <c r="AD63" s="38">
        <f t="shared" si="3"/>
        <v>838600</v>
      </c>
      <c r="AE63" s="90">
        <v>2</v>
      </c>
      <c r="AF63" s="45">
        <f t="shared" si="8"/>
        <v>838.6</v>
      </c>
    </row>
    <row r="64" spans="2:32" ht="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3">
        <v>40</v>
      </c>
      <c r="Q64" s="56" t="s">
        <v>77</v>
      </c>
      <c r="R64" s="13">
        <v>9381367.8</v>
      </c>
      <c r="S64" s="7">
        <v>51</v>
      </c>
      <c r="T64" s="34">
        <f t="shared" si="9"/>
        <v>2792926.53</v>
      </c>
      <c r="U64" s="88">
        <v>0.261555503630431</v>
      </c>
      <c r="V64" s="35">
        <f t="shared" si="1"/>
        <v>2779956.97</v>
      </c>
      <c r="W64" s="35">
        <f>3158478.61-V64</f>
        <v>378521.64</v>
      </c>
      <c r="X64" s="85">
        <f t="shared" si="4"/>
        <v>3158478.61</v>
      </c>
      <c r="Y64" s="35">
        <f t="shared" si="5"/>
        <v>826117.46</v>
      </c>
      <c r="Z64" s="36">
        <f t="shared" si="6"/>
        <v>826200</v>
      </c>
      <c r="AA64" s="37">
        <v>2683400</v>
      </c>
      <c r="AB64" s="35">
        <f t="shared" si="7"/>
        <v>2332361.15</v>
      </c>
      <c r="AC64" s="36">
        <f t="shared" si="2"/>
        <v>2332400</v>
      </c>
      <c r="AD64" s="38">
        <f t="shared" si="3"/>
        <v>3158600</v>
      </c>
      <c r="AE64" s="90">
        <v>5</v>
      </c>
      <c r="AF64" s="45">
        <f t="shared" si="8"/>
        <v>3158.6</v>
      </c>
    </row>
    <row r="65" spans="2:32" ht="30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43">
        <v>41</v>
      </c>
      <c r="Q65" s="56" t="s">
        <v>78</v>
      </c>
      <c r="R65" s="13">
        <v>6171952.5</v>
      </c>
      <c r="S65" s="7">
        <v>51</v>
      </c>
      <c r="T65" s="34">
        <f t="shared" si="9"/>
        <v>2659914.37</v>
      </c>
      <c r="U65" s="88">
        <v>0.261555503630431</v>
      </c>
      <c r="V65" s="35">
        <f t="shared" si="1"/>
        <v>2647562.48</v>
      </c>
      <c r="W65" s="35">
        <f>3008074.86-V65</f>
        <v>360512.38</v>
      </c>
      <c r="X65" s="85">
        <f t="shared" si="4"/>
        <v>3008074.86</v>
      </c>
      <c r="Y65" s="35">
        <f t="shared" si="5"/>
        <v>786778.53</v>
      </c>
      <c r="Z65" s="36">
        <f t="shared" si="6"/>
        <v>786800</v>
      </c>
      <c r="AA65" s="37">
        <v>2555604</v>
      </c>
      <c r="AB65" s="35">
        <f t="shared" si="7"/>
        <v>2221296.33</v>
      </c>
      <c r="AC65" s="36">
        <f t="shared" si="2"/>
        <v>2221300</v>
      </c>
      <c r="AD65" s="38">
        <f t="shared" si="3"/>
        <v>3008100</v>
      </c>
      <c r="AE65" s="90">
        <v>5</v>
      </c>
      <c r="AF65" s="45">
        <f t="shared" si="8"/>
        <v>3008.1</v>
      </c>
    </row>
    <row r="66" spans="2:32" ht="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43">
        <v>42</v>
      </c>
      <c r="Q66" s="56" t="s">
        <v>79</v>
      </c>
      <c r="R66" s="13">
        <v>18268979.4</v>
      </c>
      <c r="S66" s="7">
        <v>43</v>
      </c>
      <c r="T66" s="34">
        <f t="shared" si="9"/>
        <v>6216366.67</v>
      </c>
      <c r="U66" s="88">
        <v>0.261555503630431</v>
      </c>
      <c r="V66" s="35">
        <f t="shared" si="1"/>
        <v>6187499.63</v>
      </c>
      <c r="W66" s="35">
        <f>6467361-V66</f>
        <v>279861.37</v>
      </c>
      <c r="X66" s="85">
        <f t="shared" si="4"/>
        <v>6467361</v>
      </c>
      <c r="Y66" s="35">
        <f t="shared" si="5"/>
        <v>1691573.86</v>
      </c>
      <c r="Z66" s="36">
        <f t="shared" si="6"/>
        <v>1691600</v>
      </c>
      <c r="AA66" s="37">
        <v>8240300</v>
      </c>
      <c r="AB66" s="35">
        <f t="shared" si="7"/>
        <v>4775787.14</v>
      </c>
      <c r="AC66" s="36">
        <f t="shared" si="2"/>
        <v>4775800</v>
      </c>
      <c r="AD66" s="38">
        <f t="shared" si="3"/>
        <v>6467400</v>
      </c>
      <c r="AE66" s="90">
        <v>14</v>
      </c>
      <c r="AF66" s="45">
        <f t="shared" si="8"/>
        <v>6467.4</v>
      </c>
    </row>
    <row r="67" spans="2:32" ht="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43">
        <v>43</v>
      </c>
      <c r="Q67" s="56" t="s">
        <v>80</v>
      </c>
      <c r="R67" s="13">
        <v>2234358</v>
      </c>
      <c r="S67" s="7">
        <v>54</v>
      </c>
      <c r="T67" s="34">
        <f t="shared" si="9"/>
        <v>259457.09</v>
      </c>
      <c r="U67" s="88">
        <v>0.261555503630431</v>
      </c>
      <c r="V67" s="35">
        <f t="shared" si="1"/>
        <v>258252.25</v>
      </c>
      <c r="W67" s="35">
        <f>282025.8-V67</f>
        <v>23773.55</v>
      </c>
      <c r="X67" s="85">
        <f t="shared" si="4"/>
        <v>282025.8</v>
      </c>
      <c r="Y67" s="35">
        <f t="shared" si="5"/>
        <v>73765.4</v>
      </c>
      <c r="Z67" s="36">
        <f t="shared" si="6"/>
        <v>73800</v>
      </c>
      <c r="AA67" s="37">
        <v>221019</v>
      </c>
      <c r="AB67" s="35">
        <f t="shared" si="7"/>
        <v>208260.4</v>
      </c>
      <c r="AC67" s="36">
        <f t="shared" si="2"/>
        <v>208300</v>
      </c>
      <c r="AD67" s="38">
        <f t="shared" si="3"/>
        <v>282100</v>
      </c>
      <c r="AE67" s="90">
        <v>1</v>
      </c>
      <c r="AF67" s="45">
        <f t="shared" si="8"/>
        <v>282.1</v>
      </c>
    </row>
    <row r="68" spans="16:32" ht="15">
      <c r="P68" s="43">
        <v>44</v>
      </c>
      <c r="Q68" s="56" t="s">
        <v>81</v>
      </c>
      <c r="R68" s="13">
        <v>7866936</v>
      </c>
      <c r="S68" s="7">
        <v>54</v>
      </c>
      <c r="T68" s="34">
        <f t="shared" si="9"/>
        <v>4596573.91</v>
      </c>
      <c r="U68" s="88">
        <v>0.261555503630431</v>
      </c>
      <c r="V68" s="35">
        <f t="shared" si="1"/>
        <v>4575228.73</v>
      </c>
      <c r="W68" s="35">
        <f>3894133.32-V68</f>
        <v>-681095.41</v>
      </c>
      <c r="X68" s="85">
        <f t="shared" si="4"/>
        <v>3894133.32</v>
      </c>
      <c r="Y68" s="35">
        <f t="shared" si="5"/>
        <v>1018532</v>
      </c>
      <c r="Z68" s="36">
        <f t="shared" si="6"/>
        <v>1018600</v>
      </c>
      <c r="AA68" s="37">
        <v>3915600</v>
      </c>
      <c r="AB68" s="35">
        <f t="shared" si="7"/>
        <v>2875601.32</v>
      </c>
      <c r="AC68" s="36">
        <f t="shared" si="2"/>
        <v>2875700</v>
      </c>
      <c r="AD68" s="38">
        <f t="shared" si="3"/>
        <v>3894300</v>
      </c>
      <c r="AE68" s="90">
        <v>13</v>
      </c>
      <c r="AF68" s="45">
        <f t="shared" si="8"/>
        <v>3894.3</v>
      </c>
    </row>
    <row r="69" spans="16:32" ht="15">
      <c r="P69" s="43">
        <v>45</v>
      </c>
      <c r="Q69" s="56" t="s">
        <v>82</v>
      </c>
      <c r="R69" s="13">
        <v>3610769.4</v>
      </c>
      <c r="S69" s="7">
        <v>41</v>
      </c>
      <c r="T69" s="34">
        <f t="shared" si="9"/>
        <v>1352305.08</v>
      </c>
      <c r="U69" s="88">
        <v>0.261555503630431</v>
      </c>
      <c r="V69" s="35">
        <f t="shared" si="1"/>
        <v>1346025.36</v>
      </c>
      <c r="W69" s="35">
        <f>1418056.67-V69</f>
        <v>72031.31</v>
      </c>
      <c r="X69" s="85">
        <f t="shared" si="4"/>
        <v>1418056.67</v>
      </c>
      <c r="Y69" s="35">
        <f t="shared" si="5"/>
        <v>370900.53</v>
      </c>
      <c r="Z69" s="36">
        <f t="shared" si="6"/>
        <v>371000</v>
      </c>
      <c r="AA69" s="37">
        <v>1946000</v>
      </c>
      <c r="AB69" s="35">
        <f t="shared" si="7"/>
        <v>1047156.14</v>
      </c>
      <c r="AC69" s="36">
        <f t="shared" si="2"/>
        <v>1047200</v>
      </c>
      <c r="AD69" s="38">
        <f t="shared" si="3"/>
        <v>1418200</v>
      </c>
      <c r="AE69" s="90">
        <v>3</v>
      </c>
      <c r="AF69" s="45">
        <f t="shared" si="8"/>
        <v>1418.2</v>
      </c>
    </row>
    <row r="70" spans="3:32" ht="15">
      <c r="C70" s="1" t="s">
        <v>29</v>
      </c>
      <c r="P70" s="43">
        <v>46</v>
      </c>
      <c r="Q70" s="56" t="s">
        <v>83</v>
      </c>
      <c r="R70" s="13">
        <v>2890414.8</v>
      </c>
      <c r="S70" s="7">
        <v>45</v>
      </c>
      <c r="T70" s="34">
        <f t="shared" si="9"/>
        <v>1373691.27</v>
      </c>
      <c r="U70" s="88">
        <v>0.261555503630431</v>
      </c>
      <c r="V70" s="35">
        <f t="shared" si="1"/>
        <v>1367312.24</v>
      </c>
      <c r="W70" s="35">
        <f>1424474.1-V70</f>
        <v>57161.86</v>
      </c>
      <c r="X70" s="85">
        <f t="shared" si="4"/>
        <v>1424474.1</v>
      </c>
      <c r="Y70" s="35">
        <f t="shared" si="5"/>
        <v>372579.04</v>
      </c>
      <c r="Z70" s="36">
        <f t="shared" si="6"/>
        <v>372600</v>
      </c>
      <c r="AA70" s="37">
        <v>1678956</v>
      </c>
      <c r="AB70" s="35">
        <f t="shared" si="7"/>
        <v>1051895.06</v>
      </c>
      <c r="AC70" s="36">
        <f t="shared" si="2"/>
        <v>1051900</v>
      </c>
      <c r="AD70" s="38">
        <f t="shared" si="3"/>
        <v>1424500</v>
      </c>
      <c r="AE70" s="90">
        <v>3</v>
      </c>
      <c r="AF70" s="45">
        <f t="shared" si="8"/>
        <v>1424.5</v>
      </c>
    </row>
    <row r="71" spans="16:32" ht="30.75">
      <c r="P71" s="43">
        <v>47</v>
      </c>
      <c r="Q71" s="56" t="s">
        <v>84</v>
      </c>
      <c r="R71" s="13">
        <v>5712243.6</v>
      </c>
      <c r="S71" s="7">
        <v>45</v>
      </c>
      <c r="T71" s="34">
        <f t="shared" si="9"/>
        <v>1761709.09</v>
      </c>
      <c r="U71" s="88">
        <v>0.261555503630431</v>
      </c>
      <c r="V71" s="35">
        <f t="shared" si="1"/>
        <v>1753528.21</v>
      </c>
      <c r="W71" s="35">
        <f>1684897.2-V71</f>
        <v>-68631.01</v>
      </c>
      <c r="X71" s="85">
        <f t="shared" si="4"/>
        <v>1684897.2</v>
      </c>
      <c r="Y71" s="35">
        <f t="shared" si="5"/>
        <v>440694.14</v>
      </c>
      <c r="Z71" s="36">
        <f t="shared" si="6"/>
        <v>440700</v>
      </c>
      <c r="AA71" s="37">
        <v>2153200</v>
      </c>
      <c r="AB71" s="35">
        <f t="shared" si="7"/>
        <v>1244203.06</v>
      </c>
      <c r="AC71" s="36">
        <f t="shared" si="2"/>
        <v>1244300</v>
      </c>
      <c r="AD71" s="38">
        <f t="shared" si="3"/>
        <v>1685000</v>
      </c>
      <c r="AE71" s="90">
        <v>4</v>
      </c>
      <c r="AF71" s="45">
        <f t="shared" si="8"/>
        <v>1685</v>
      </c>
    </row>
    <row r="72" spans="16:32" ht="15">
      <c r="P72" s="43">
        <v>48</v>
      </c>
      <c r="Q72" s="56" t="s">
        <v>85</v>
      </c>
      <c r="R72" s="13">
        <v>2149602</v>
      </c>
      <c r="S72" s="7">
        <v>47</v>
      </c>
      <c r="T72" s="34">
        <f t="shared" si="9"/>
        <v>2412075.47</v>
      </c>
      <c r="U72" s="88">
        <v>0.261555503630431</v>
      </c>
      <c r="V72" s="35">
        <f t="shared" si="1"/>
        <v>2400874.48</v>
      </c>
      <c r="W72" s="35">
        <f>2575572.56-V72</f>
        <v>174698.08</v>
      </c>
      <c r="X72" s="85">
        <f t="shared" si="4"/>
        <v>2575572.56</v>
      </c>
      <c r="Y72" s="35">
        <f t="shared" si="5"/>
        <v>673655.18</v>
      </c>
      <c r="Z72" s="36">
        <f t="shared" si="6"/>
        <v>673700</v>
      </c>
      <c r="AA72" s="37">
        <v>2720000</v>
      </c>
      <c r="AB72" s="35">
        <f t="shared" si="7"/>
        <v>1901917.38</v>
      </c>
      <c r="AC72" s="36">
        <f t="shared" si="2"/>
        <v>1902000</v>
      </c>
      <c r="AD72" s="38">
        <f t="shared" si="3"/>
        <v>2575700</v>
      </c>
      <c r="AE72" s="90">
        <v>5</v>
      </c>
      <c r="AF72" s="45">
        <f t="shared" si="8"/>
        <v>2575.7</v>
      </c>
    </row>
    <row r="73" spans="16:32" ht="14.25" customHeight="1">
      <c r="P73" s="43">
        <v>49</v>
      </c>
      <c r="Q73" s="56" t="s">
        <v>86</v>
      </c>
      <c r="R73" s="13">
        <v>1611792</v>
      </c>
      <c r="S73" s="7">
        <v>60</v>
      </c>
      <c r="T73" s="34">
        <f t="shared" si="9"/>
        <v>825000</v>
      </c>
      <c r="U73" s="88">
        <v>0.261555503630431</v>
      </c>
      <c r="V73" s="35">
        <f t="shared" si="1"/>
        <v>821168.93</v>
      </c>
      <c r="W73" s="35">
        <f>1100040.48-V73</f>
        <v>278871.55</v>
      </c>
      <c r="X73" s="85">
        <f t="shared" si="4"/>
        <v>1100040.48</v>
      </c>
      <c r="Y73" s="35">
        <f t="shared" si="5"/>
        <v>287721.64</v>
      </c>
      <c r="Z73" s="36">
        <f t="shared" si="6"/>
        <v>287800</v>
      </c>
      <c r="AA73" s="37">
        <v>550000</v>
      </c>
      <c r="AB73" s="35">
        <f t="shared" si="7"/>
        <v>812318.84</v>
      </c>
      <c r="AC73" s="36">
        <f t="shared" si="2"/>
        <v>812400</v>
      </c>
      <c r="AD73" s="38">
        <f t="shared" si="3"/>
        <v>1100200</v>
      </c>
      <c r="AE73" s="90">
        <v>2</v>
      </c>
      <c r="AF73" s="45">
        <f t="shared" si="8"/>
        <v>1100.2</v>
      </c>
    </row>
    <row r="74" spans="3:32" ht="15">
      <c r="C74" s="1" t="s">
        <v>33</v>
      </c>
      <c r="P74" s="43">
        <v>50</v>
      </c>
      <c r="Q74" s="56" t="s">
        <v>87</v>
      </c>
      <c r="R74" s="13">
        <v>6007367.1</v>
      </c>
      <c r="S74" s="7">
        <v>44</v>
      </c>
      <c r="T74" s="34">
        <f t="shared" si="9"/>
        <v>1262154.93</v>
      </c>
      <c r="U74" s="88">
        <v>0.261555503630431</v>
      </c>
      <c r="V74" s="35">
        <f t="shared" si="1"/>
        <v>1256293.84</v>
      </c>
      <c r="W74" s="35">
        <f>1427361.02-V74</f>
        <v>171067.18</v>
      </c>
      <c r="X74" s="85">
        <f t="shared" si="4"/>
        <v>1427361.02</v>
      </c>
      <c r="Y74" s="35">
        <f t="shared" si="5"/>
        <v>373334.13</v>
      </c>
      <c r="Z74" s="36">
        <f t="shared" si="6"/>
        <v>373400</v>
      </c>
      <c r="AA74" s="37">
        <v>1606379</v>
      </c>
      <c r="AB74" s="35">
        <f t="shared" si="7"/>
        <v>1054026.89</v>
      </c>
      <c r="AC74" s="36">
        <f t="shared" si="2"/>
        <v>1054100</v>
      </c>
      <c r="AD74" s="38">
        <f t="shared" si="3"/>
        <v>1427500</v>
      </c>
      <c r="AE74" s="90">
        <v>3</v>
      </c>
      <c r="AF74" s="45">
        <f t="shared" si="8"/>
        <v>1427.5</v>
      </c>
    </row>
    <row r="75" spans="3:32" ht="31.5" customHeight="1">
      <c r="C75" s="1" t="s">
        <v>30</v>
      </c>
      <c r="P75" s="43">
        <v>51</v>
      </c>
      <c r="Q75" s="56" t="s">
        <v>88</v>
      </c>
      <c r="R75" s="13">
        <v>1097302.5</v>
      </c>
      <c r="S75" s="7">
        <v>41</v>
      </c>
      <c r="T75" s="34">
        <f t="shared" si="9"/>
        <v>359917.46</v>
      </c>
      <c r="U75" s="88">
        <v>0.261555503630431</v>
      </c>
      <c r="V75" s="35">
        <f t="shared" si="1"/>
        <v>358246.11</v>
      </c>
      <c r="W75" s="35">
        <f>359915.22-V75</f>
        <v>1669.11</v>
      </c>
      <c r="X75" s="85">
        <f t="shared" si="4"/>
        <v>359915.22</v>
      </c>
      <c r="Y75" s="35">
        <f t="shared" si="5"/>
        <v>94137.81</v>
      </c>
      <c r="Z75" s="36">
        <f t="shared" si="6"/>
        <v>94200</v>
      </c>
      <c r="AA75" s="37">
        <v>517930</v>
      </c>
      <c r="AB75" s="35">
        <f t="shared" si="7"/>
        <v>265777.41</v>
      </c>
      <c r="AC75" s="36">
        <f t="shared" si="2"/>
        <v>265800</v>
      </c>
      <c r="AD75" s="38">
        <f t="shared" si="3"/>
        <v>360000</v>
      </c>
      <c r="AE75" s="90">
        <v>1</v>
      </c>
      <c r="AF75" s="45">
        <f t="shared" si="8"/>
        <v>360</v>
      </c>
    </row>
    <row r="76" spans="3:32" ht="31.5" customHeight="1">
      <c r="C76" s="1" t="s">
        <v>34</v>
      </c>
      <c r="P76" s="43">
        <v>52</v>
      </c>
      <c r="Q76" s="56" t="s">
        <v>89</v>
      </c>
      <c r="R76" s="13">
        <v>1975024.8</v>
      </c>
      <c r="S76" s="7">
        <v>52</v>
      </c>
      <c r="T76" s="34">
        <f t="shared" si="9"/>
        <v>1628250</v>
      </c>
      <c r="U76" s="88">
        <v>0.261555503630431</v>
      </c>
      <c r="V76" s="35">
        <f t="shared" si="1"/>
        <v>1620688.87</v>
      </c>
      <c r="W76" s="35">
        <f>1627241.61-V76</f>
        <v>6552.74</v>
      </c>
      <c r="X76" s="85">
        <f t="shared" si="4"/>
        <v>1627241.61</v>
      </c>
      <c r="Y76" s="35">
        <f t="shared" si="5"/>
        <v>425614</v>
      </c>
      <c r="Z76" s="36">
        <f t="shared" si="6"/>
        <v>425700</v>
      </c>
      <c r="AA76" s="37">
        <v>1503000</v>
      </c>
      <c r="AB76" s="35">
        <f t="shared" si="7"/>
        <v>1201627.61</v>
      </c>
      <c r="AC76" s="36">
        <f t="shared" si="2"/>
        <v>1201700</v>
      </c>
      <c r="AD76" s="38">
        <f t="shared" si="3"/>
        <v>1627400</v>
      </c>
      <c r="AE76" s="90">
        <v>3</v>
      </c>
      <c r="AF76" s="45">
        <f t="shared" si="8"/>
        <v>1627.4</v>
      </c>
    </row>
    <row r="77" spans="16:32" ht="15">
      <c r="P77" s="43">
        <v>53</v>
      </c>
      <c r="Q77" s="56" t="s">
        <v>107</v>
      </c>
      <c r="R77" s="13"/>
      <c r="S77" s="7">
        <v>60</v>
      </c>
      <c r="T77" s="34">
        <f t="shared" si="9"/>
        <v>244500</v>
      </c>
      <c r="U77" s="88">
        <v>0.261555503630431</v>
      </c>
      <c r="V77" s="35">
        <f t="shared" si="1"/>
        <v>243364.61</v>
      </c>
      <c r="W77" s="35">
        <f>270459-V77</f>
        <v>27094.39</v>
      </c>
      <c r="X77" s="85">
        <f t="shared" si="4"/>
        <v>270459</v>
      </c>
      <c r="Y77" s="35">
        <f t="shared" si="5"/>
        <v>70740.04</v>
      </c>
      <c r="Z77" s="36">
        <f t="shared" si="6"/>
        <v>70800</v>
      </c>
      <c r="AA77" s="37">
        <v>163000</v>
      </c>
      <c r="AB77" s="35">
        <f t="shared" si="7"/>
        <v>199718.96</v>
      </c>
      <c r="AC77" s="36">
        <f t="shared" si="2"/>
        <v>199800</v>
      </c>
      <c r="AD77" s="38">
        <f t="shared" si="3"/>
        <v>270600</v>
      </c>
      <c r="AE77" s="90">
        <v>1</v>
      </c>
      <c r="AF77" s="45">
        <f t="shared" si="8"/>
        <v>270.6</v>
      </c>
    </row>
    <row r="78" spans="3:32" ht="15">
      <c r="C78" s="1" t="s">
        <v>31</v>
      </c>
      <c r="P78" s="43">
        <v>54</v>
      </c>
      <c r="Q78" s="56" t="s">
        <v>90</v>
      </c>
      <c r="R78" s="13">
        <v>3456293.4</v>
      </c>
      <c r="S78" s="7">
        <v>52</v>
      </c>
      <c r="T78" s="34">
        <f t="shared" si="9"/>
        <v>1322208.33</v>
      </c>
      <c r="U78" s="88">
        <v>0.261555503630431</v>
      </c>
      <c r="V78" s="35">
        <f t="shared" si="1"/>
        <v>1316068.37</v>
      </c>
      <c r="W78" s="35">
        <f>1380175.52-V78</f>
        <v>64107.15</v>
      </c>
      <c r="X78" s="85">
        <f t="shared" si="4"/>
        <v>1380175.52</v>
      </c>
      <c r="Y78" s="35">
        <f t="shared" si="5"/>
        <v>360992.5</v>
      </c>
      <c r="Z78" s="36">
        <f t="shared" si="6"/>
        <v>361000</v>
      </c>
      <c r="AA78" s="37">
        <v>1220500</v>
      </c>
      <c r="AB78" s="35">
        <f t="shared" si="7"/>
        <v>1019183.02</v>
      </c>
      <c r="AC78" s="36">
        <f t="shared" si="2"/>
        <v>1019200</v>
      </c>
      <c r="AD78" s="38">
        <f t="shared" si="3"/>
        <v>1380200</v>
      </c>
      <c r="AE78" s="90">
        <v>2</v>
      </c>
      <c r="AF78" s="45">
        <f t="shared" si="8"/>
        <v>1380.2</v>
      </c>
    </row>
    <row r="79" spans="3:32" ht="46.5">
      <c r="C79" s="1" t="s">
        <v>32</v>
      </c>
      <c r="P79" s="43">
        <v>55</v>
      </c>
      <c r="Q79" s="56" t="s">
        <v>91</v>
      </c>
      <c r="R79" s="13">
        <v>4526098.5</v>
      </c>
      <c r="S79" s="7">
        <v>46</v>
      </c>
      <c r="T79" s="34">
        <f t="shared" si="9"/>
        <v>2811111.11</v>
      </c>
      <c r="U79" s="88">
        <v>0.261555503630431</v>
      </c>
      <c r="V79" s="35">
        <f t="shared" si="1"/>
        <v>2798057.11</v>
      </c>
      <c r="W79" s="35">
        <f>2984482.11-V79</f>
        <v>186425</v>
      </c>
      <c r="X79" s="85">
        <f t="shared" si="4"/>
        <v>2984482.11</v>
      </c>
      <c r="Y79" s="35">
        <f t="shared" si="5"/>
        <v>780607.72</v>
      </c>
      <c r="Z79" s="36">
        <f t="shared" si="6"/>
        <v>780700</v>
      </c>
      <c r="AA79" s="37">
        <v>3300000</v>
      </c>
      <c r="AB79" s="35">
        <f t="shared" si="7"/>
        <v>2203874.39</v>
      </c>
      <c r="AC79" s="36">
        <f t="shared" si="2"/>
        <v>2203900</v>
      </c>
      <c r="AD79" s="38">
        <f t="shared" si="3"/>
        <v>2984600</v>
      </c>
      <c r="AE79" s="90">
        <v>5</v>
      </c>
      <c r="AF79" s="45">
        <f t="shared" si="8"/>
        <v>2984.6</v>
      </c>
    </row>
    <row r="80" spans="16:32" s="3" customFormat="1" ht="43.5" customHeight="1">
      <c r="P80" s="162" t="s">
        <v>102</v>
      </c>
      <c r="Q80" s="162"/>
      <c r="R80" s="59">
        <f>SUM(R25:R79)</f>
        <v>325412992.34</v>
      </c>
      <c r="S80" s="58" t="s">
        <v>7</v>
      </c>
      <c r="T80" s="60">
        <f>SUM(T25:T79)</f>
        <v>174135134.08</v>
      </c>
      <c r="U80" s="74" t="s">
        <v>95</v>
      </c>
      <c r="V80" s="60">
        <f>SUM(V25:V79)</f>
        <v>173326500</v>
      </c>
      <c r="W80" s="60"/>
      <c r="X80" s="76">
        <f>SUM(X25:X79)</f>
        <v>173320700.04</v>
      </c>
      <c r="Y80" s="60">
        <f aca="true" t="shared" si="10" ref="Y80:AD80">SUM(Y25:Y79)</f>
        <v>45332983</v>
      </c>
      <c r="Z80" s="76">
        <f t="shared" si="10"/>
        <v>45334500</v>
      </c>
      <c r="AA80" s="60">
        <f>SUM(AA25:AA79)</f>
        <v>176343866</v>
      </c>
      <c r="AB80" s="60">
        <f t="shared" si="10"/>
        <v>127987717.04</v>
      </c>
      <c r="AC80" s="76">
        <f t="shared" si="10"/>
        <v>127992000</v>
      </c>
      <c r="AD80" s="60">
        <f t="shared" si="10"/>
        <v>173326500</v>
      </c>
      <c r="AE80" s="92">
        <f>SUM(AE25:AE79)</f>
        <v>359</v>
      </c>
      <c r="AF80" s="78">
        <f>AD80/1000</f>
        <v>173326.5</v>
      </c>
    </row>
    <row r="81" spans="20:32" ht="15">
      <c r="T81" s="41"/>
      <c r="U81" s="75"/>
      <c r="V81" s="39"/>
      <c r="W81" s="39"/>
      <c r="X81" s="79">
        <v>126326050</v>
      </c>
      <c r="Y81" s="40"/>
      <c r="Z81" s="25"/>
      <c r="AA81" s="39">
        <v>128008654.58</v>
      </c>
      <c r="AB81" s="25"/>
      <c r="AC81" s="40"/>
      <c r="AD81" s="25"/>
      <c r="AF81" s="1"/>
    </row>
    <row r="82" spans="17:32" ht="70.5" customHeight="1">
      <c r="Q82" s="57" t="s">
        <v>100</v>
      </c>
      <c r="T82" s="42">
        <v>173326500</v>
      </c>
      <c r="U82" s="75"/>
      <c r="V82" s="39"/>
      <c r="W82" s="39"/>
      <c r="X82" s="79">
        <f>X81-X80</f>
        <v>-46994650.04</v>
      </c>
      <c r="Y82" s="40"/>
      <c r="Z82" s="77">
        <f>45334500-Z80</f>
        <v>0</v>
      </c>
      <c r="AA82" s="39">
        <f>AA80-AA81</f>
        <v>48335211.42</v>
      </c>
      <c r="AB82" s="25"/>
      <c r="AC82" s="77">
        <f>80992000+47000000-AC80</f>
        <v>0</v>
      </c>
      <c r="AD82" s="25"/>
      <c r="AF82" s="1"/>
    </row>
    <row r="83" ht="16.5" customHeight="1"/>
  </sheetData>
  <sheetProtection/>
  <mergeCells count="56">
    <mergeCell ref="B2:AB2"/>
    <mergeCell ref="B20:B22"/>
    <mergeCell ref="C20:C22"/>
    <mergeCell ref="D20:D22"/>
    <mergeCell ref="E20:E22"/>
    <mergeCell ref="F20:O20"/>
    <mergeCell ref="R20:R22"/>
    <mergeCell ref="S20:S22"/>
    <mergeCell ref="P13:Q13"/>
    <mergeCell ref="L21:L22"/>
    <mergeCell ref="T20:T22"/>
    <mergeCell ref="AA20:AA22"/>
    <mergeCell ref="AB20:AB22"/>
    <mergeCell ref="N21:N22"/>
    <mergeCell ref="O21:O22"/>
    <mergeCell ref="P20:P22"/>
    <mergeCell ref="W20:W22"/>
    <mergeCell ref="X20:X22"/>
    <mergeCell ref="AD20:AD22"/>
    <mergeCell ref="AE20:AE22"/>
    <mergeCell ref="F21:F22"/>
    <mergeCell ref="G21:G22"/>
    <mergeCell ref="H21:H22"/>
    <mergeCell ref="I21:I22"/>
    <mergeCell ref="J21:J22"/>
    <mergeCell ref="K21:K22"/>
    <mergeCell ref="Q20:Q22"/>
    <mergeCell ref="M21:M22"/>
    <mergeCell ref="AF20:AF22"/>
    <mergeCell ref="P80:Q80"/>
    <mergeCell ref="P12:S12"/>
    <mergeCell ref="T12:AK12"/>
    <mergeCell ref="Y20:Y22"/>
    <mergeCell ref="U20:U22"/>
    <mergeCell ref="Z20:Z22"/>
    <mergeCell ref="AC20:AC22"/>
    <mergeCell ref="V20:V22"/>
    <mergeCell ref="P16:S16"/>
    <mergeCell ref="T16:AF18"/>
    <mergeCell ref="R13:S13"/>
    <mergeCell ref="T13:Y13"/>
    <mergeCell ref="Z13:AC13"/>
    <mergeCell ref="AD13:AE13"/>
    <mergeCell ref="AF13:AJ13"/>
    <mergeCell ref="P14:S14"/>
    <mergeCell ref="T14:AK14"/>
    <mergeCell ref="P7:AF7"/>
    <mergeCell ref="P8:AF8"/>
    <mergeCell ref="P9:AF9"/>
    <mergeCell ref="P10:AF10"/>
    <mergeCell ref="P11:AJ11"/>
    <mergeCell ref="P15:Q15"/>
    <mergeCell ref="R15:S15"/>
    <mergeCell ref="T15:V15"/>
    <mergeCell ref="Y15:Z15"/>
    <mergeCell ref="AA15:AJ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Олейник А.А.</dc:creator>
  <cp:keywords/>
  <dc:description/>
  <cp:lastModifiedBy>Грицай Елена Анатольевна</cp:lastModifiedBy>
  <cp:lastPrinted>2019-10-31T11:55:45Z</cp:lastPrinted>
  <dcterms:created xsi:type="dcterms:W3CDTF">2019-05-21T08:05:09Z</dcterms:created>
  <dcterms:modified xsi:type="dcterms:W3CDTF">2019-11-01T09:02:09Z</dcterms:modified>
  <cp:category/>
  <cp:version/>
  <cp:contentType/>
  <cp:contentStatus/>
</cp:coreProperties>
</file>